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book.xml" ContentType="application/vnd.openxmlformats-officedocument.spreadsheetml.sheet.main+xml"/>
  <Override PartName="/xl/media/image1.wmf" ContentType="image/x-wmf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comments4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0"/>
  </bookViews>
  <sheets>
    <sheet name="Budget 2017" sheetId="1" state="visible" r:id="rId2"/>
    <sheet name="Detaljer 2017" sheetId="2" state="visible" r:id="rId3"/>
    <sheet name="Budget 2016" sheetId="3" state="visible" r:id="rId4"/>
    <sheet name="Detaljer 2016" sheetId="4" state="visible" r:id="rId5"/>
    <sheet name=" Budget per Aktivitet 2008-201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D100" authorId="0">
      <text>
        <r>
          <rPr>
            <b val="true"/>
            <sz val="9"/>
            <color rgb="FF000000"/>
            <rFont val="Tahoma"/>
            <family val="2"/>
          </rPr>
          <t>Lennart Andersson:
</t>
        </r>
        <r>
          <rPr>
            <sz val="9"/>
            <color rgb="FF000000"/>
            <rFont val="Tahoma"/>
            <family val="2"/>
          </rPr>
          <t>10 kr/anmäld deltagare Se instruktion för Vårserien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D100" authorId="0">
      <text>
        <r>
          <rPr>
            <b val="true"/>
            <sz val="9"/>
            <color rgb="FF000000"/>
            <rFont val="Tahoma"/>
            <family val="2"/>
          </rPr>
          <t>Lennart Andersson:
</t>
        </r>
        <r>
          <rPr>
            <sz val="9"/>
            <color rgb="FF000000"/>
            <rFont val="Tahoma"/>
            <family val="2"/>
          </rPr>
          <t>10 kr/anmäld deltagare Se instruktion för Vårserien</t>
        </r>
      </text>
    </comment>
  </commentList>
</comments>
</file>

<file path=xl/sharedStrings.xml><?xml version="1.0" encoding="utf-8"?>
<sst xmlns="http://schemas.openxmlformats.org/spreadsheetml/2006/main" count="1146" uniqueCount="344">
  <si>
    <t xml:space="preserve">Budget 2016</t>
  </si>
  <si>
    <t xml:space="preserve">Kommitté:</t>
  </si>
  <si>
    <t xml:space="preserve">Ungdomskommittén</t>
  </si>
  <si>
    <t xml:space="preserve">kkr</t>
  </si>
  <si>
    <t xml:space="preserve">Netto</t>
  </si>
  <si>
    <t xml:space="preserve">Budget</t>
  </si>
  <si>
    <t xml:space="preserve">Utfall</t>
  </si>
  <si>
    <t xml:space="preserve">Kommentar för utfall 2016</t>
  </si>
  <si>
    <t xml:space="preserve">Intäkter</t>
  </si>
  <si>
    <t xml:space="preserve">Rödmarkerade siffror innebär att någon intäkt/kostnad inte finns bokförd i resultatrapporten för november.</t>
  </si>
  <si>
    <t xml:space="preserve">Unionsmatchen</t>
  </si>
  <si>
    <t xml:space="preserve">Utfallet baseras på 37 pers á 1100 kr, men eventuellt blev faktureringen 1207 kr eller 1204 kr per person.</t>
  </si>
  <si>
    <t xml:space="preserve">Götalandsmästerskap (GM)</t>
  </si>
  <si>
    <t xml:space="preserve">USM-läger</t>
  </si>
  <si>
    <t xml:space="preserve">USM</t>
  </si>
  <si>
    <t xml:space="preserve">Daladubbeln</t>
  </si>
  <si>
    <t xml:space="preserve">Vårserien/Närnattcup/Ungdomsserien</t>
  </si>
  <si>
    <t xml:space="preserve">Intäkter för närnatt cup saknas i utfallet för 2016(plakettavgift)</t>
  </si>
  <si>
    <r>
      <rPr>
        <sz val="11"/>
        <color rgb="FF000000"/>
        <rFont val="Calibri"/>
        <family val="2"/>
      </rPr>
      <t>Sommarläger</t>
    </r>
    <r>
      <rPr>
        <sz val="8"/>
        <rFont val="Arial"/>
        <family val="2"/>
      </rPr>
      <t> (10-12 åringar)</t>
    </r>
  </si>
  <si>
    <t xml:space="preserve">Förs av idrottskläder/idrottsmaterial</t>
  </si>
  <si>
    <t xml:space="preserve">(Ränteintäkt från Ungdomsfonden)</t>
  </si>
  <si>
    <t xml:space="preserve">(Övrigt)</t>
  </si>
  <si>
    <t xml:space="preserve">Summa intäkter</t>
  </si>
  <si>
    <t xml:space="preserve">Kostnader</t>
  </si>
  <si>
    <t xml:space="preserve">Inköp kläder</t>
  </si>
  <si>
    <t xml:space="preserve">Kaffe och fika</t>
  </si>
  <si>
    <r>
      <rPr>
        <sz val="11"/>
        <color rgb="FF000000"/>
        <rFont val="Calibri"/>
        <family val="2"/>
      </rPr>
      <t>Utmärkelser,medaljer &amp; plaketter</t>
    </r>
    <r>
      <rPr>
        <sz val="8"/>
        <rFont val="Arial"/>
        <family val="2"/>
      </rPr>
      <t>(årets ungdom)</t>
    </r>
  </si>
  <si>
    <t xml:space="preserve">400 kr för pris till ”Årets komet 2015” har flyttats till post 4177</t>
  </si>
  <si>
    <t xml:space="preserve">Kartkostnader</t>
  </si>
  <si>
    <t xml:space="preserve">Daladubbeln </t>
  </si>
  <si>
    <t xml:space="preserve">Kostnad för priser till vårserien saknas i utfallet för 2016.</t>
  </si>
  <si>
    <t xml:space="preserve"> </t>
  </si>
  <si>
    <t xml:space="preserve">Övriga kostnader</t>
  </si>
  <si>
    <r>
      <rPr>
        <sz val="11"/>
        <color rgb="FF000000"/>
        <rFont val="Calibri"/>
        <family val="2"/>
      </rPr>
      <t>Utbildning &amp; kostnader </t>
    </r>
    <r>
      <rPr>
        <sz val="8"/>
        <rFont val="Arial"/>
        <family val="2"/>
      </rPr>
      <t>(unga ledare)</t>
    </r>
  </si>
  <si>
    <t xml:space="preserve">Summa kostnader</t>
  </si>
  <si>
    <t xml:space="preserve">Resultat *</t>
  </si>
  <si>
    <t xml:space="preserve">* Resultatet motsvaras av de budgeterade GOF-medel som kommittén tilldelas.</t>
  </si>
  <si>
    <t xml:space="preserve">BUDGETÄSKANDE 2017 U-grupp</t>
  </si>
  <si>
    <t xml:space="preserve">Vissa rader under Material/Övrigt samt raderna under dessa ingår inte i U-gruppens budgetäskande</t>
  </si>
  <si>
    <t xml:space="preserve">Princip: GOF bidrar med delar av resa, startavgifter</t>
  </si>
  <si>
    <t xml:space="preserve">Budget GOF</t>
  </si>
  <si>
    <t xml:space="preserve">Deltagare</t>
  </si>
  <si>
    <t xml:space="preserve">Deltagaravgift</t>
  </si>
  <si>
    <t xml:space="preserve">och kostnader för ledare.</t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</si>
  <si>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26-28</t>
    </r>
    <r>
      <rPr>
        <b val="true"/>
        <i val="true"/>
        <sz val="16"/>
        <color rgb="FFFF0000"/>
        <rFont val="Arial"/>
        <family val="2"/>
      </rPr>
      <t> maj i Halland</t>
    </r>
  </si>
  <si>
    <t xml:space="preserve">Konto</t>
  </si>
  <si>
    <t xml:space="preserve">Aktivitet </t>
  </si>
  <si>
    <t xml:space="preserve">Inkomster</t>
  </si>
  <si>
    <t xml:space="preserve">Utgifter</t>
  </si>
  <si>
    <t xml:space="preserve">Antal</t>
  </si>
  <si>
    <t xml:space="preserve">Resa till Varberg med buss </t>
  </si>
  <si>
    <t xml:space="preserve">Boende för chaufför(2 nätter)</t>
  </si>
  <si>
    <t xml:space="preserve">Mat/logi (36 st a  450 SEK)    </t>
  </si>
  <si>
    <t xml:space="preserve">Mat/logi ledare (6 st a  450 SEK)    </t>
  </si>
  <si>
    <t xml:space="preserve">Startavgifter, 36 löpare a 70 SEK * 2 starter + 500 SEK prispeng</t>
  </si>
  <si>
    <t xml:space="preserve">36 löpare som betalar 900 kronor var</t>
  </si>
  <si>
    <t xml:space="preserve">6 ledare som betalar 0kr</t>
  </si>
  <si>
    <t xml:space="preserve">Hyra brickor </t>
  </si>
  <si>
    <t xml:space="preserve">Beräknad kostnad</t>
  </si>
  <si>
    <t xml:space="preserve">Varav startavgifter/hyra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</si>
  <si>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11-13 aug i Karlskrona (fred-sön)</t>
    </r>
  </si>
  <si>
    <t xml:space="preserve">Resa till tävling med buss</t>
  </si>
  <si>
    <t xml:space="preserve">Hotell chaufför (2 nätter)</t>
  </si>
  <si>
    <t xml:space="preserve">Mat/logi löpare 60 st * (  700kr)</t>
  </si>
  <si>
    <t xml:space="preserve">Mat/logi ledare 6 st </t>
  </si>
  <si>
    <t xml:space="preserve">Startavgifter 60* 65 kr/start* 3 starter)</t>
  </si>
  <si>
    <t xml:space="preserve">60 löpare (ungdomar) som betalar 1200 kronor var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</si>
  <si>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i Bohuslän 6-8 maj</t>
    </r>
  </si>
  <si>
    <t xml:space="preserve">Resa till lägret/träningar med buss</t>
  </si>
  <si>
    <t xml:space="preserve">Logi löpare 40 st x 2 nätter   stuga</t>
  </si>
  <si>
    <t xml:space="preserve">Mat löpare 40st. x 250kr </t>
  </si>
  <si>
    <t xml:space="preserve">Logi ledare 4st (20kr natten x 2 nätter)</t>
  </si>
  <si>
    <t xml:space="preserve">Mat ledare 4st. x 250kr</t>
  </si>
  <si>
    <t xml:space="preserve">Träningspaket 45st. (175kr)</t>
  </si>
  <si>
    <t xml:space="preserve">40 löpare (ungdomar) som betalar 920 kronor var</t>
  </si>
  <si>
    <t xml:space="preserve">Ev. deltagare från annat distrikt.</t>
  </si>
  <si>
    <t xml:space="preserve">4 ledare som betalar 0 kr</t>
  </si>
  <si>
    <t xml:space="preserve">per deltagare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</si>
  <si>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15-17 sept i Umeå (fre-sön)</t>
    </r>
  </si>
  <si>
    <t xml:space="preserve">Resa till Umeå med flyg   36 deltagare *1500 kr</t>
  </si>
  <si>
    <t xml:space="preserve">Gemensamma transporter i Umeå</t>
  </si>
  <si>
    <t xml:space="preserve">Frukost, logi för löpare 400kr/natt i två nätter 32 deltagare</t>
  </si>
  <si>
    <t xml:space="preserve">Frukost, logi för ledare  400kr/natt i två nätter 4 ledare</t>
  </si>
  <si>
    <t xml:space="preserve">Startavgifter sprint och lång inkl.  fältluncher samt middag fred. och lördag</t>
  </si>
  <si>
    <t xml:space="preserve">Startavgifter stafett 8 lag x 1000 </t>
  </si>
  <si>
    <t xml:space="preserve">Ledarpaket, middag för 4st. ledare</t>
  </si>
  <si>
    <t xml:space="preserve">32 löpare (ungdomar) som betalar 2000 kronor var</t>
  </si>
  <si>
    <t xml:space="preserve">4 ledare som betalar 0kr</t>
  </si>
  <si>
    <t xml:space="preserve">Övrigt (subvention USM västar)</t>
  </si>
  <si>
    <t xml:space="preserve">8000+2400+1560=11960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</si>
  <si>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13-15 oktober</t>
    </r>
  </si>
  <si>
    <t xml:space="preserve">Ledarersättning (resa, kost, logi) 5 ledare </t>
  </si>
  <si>
    <t xml:space="preserve">Resa till Falun med buss</t>
  </si>
  <si>
    <t xml:space="preserve">Logi Falun</t>
  </si>
  <si>
    <t xml:space="preserve">Deltagarna betalar hela resan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</si>
  <si>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Material, övrigt</t>
    </r>
  </si>
  <si>
    <t xml:space="preserve">Novembermöte</t>
  </si>
  <si>
    <t xml:space="preserve">Fika möten</t>
  </si>
  <si>
    <t xml:space="preserve">?</t>
  </si>
  <si>
    <t xml:space="preserve">Material övrigt</t>
  </si>
  <si>
    <t xml:space="preserve">Ledarjackor nya ledare</t>
  </si>
  <si>
    <t xml:space="preserve">Ränteintäkt Ungdomsfond</t>
  </si>
  <si>
    <t xml:space="preserve">Pris till årets ungdom</t>
  </si>
  <si>
    <t xml:space="preserve">Övrigt</t>
  </si>
  <si>
    <t xml:space="preserve">SUMMA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</si>
  <si>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Vårserien/Närnattcup/Ungdomsserien</t>
    </r>
  </si>
  <si>
    <t xml:space="preserve">Plakettavgift</t>
  </si>
  <si>
    <t xml:space="preserve">Priser Vårserien, Närnattcup, Ungdomsserien</t>
  </si>
  <si>
    <t xml:space="preserve">1:a pris ungdomsserien (glass-check)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</si>
  <si>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Sommarläger</t>
    </r>
  </si>
  <si>
    <t xml:space="preserve">Deltagaravgifter  90*800</t>
  </si>
  <si>
    <t xml:space="preserve">Oförutsedda kostnader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</si>
  <si>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Utbildning</t>
    </r>
  </si>
  <si>
    <t xml:space="preserve">Utbildning (unga ledare)</t>
  </si>
  <si>
    <t xml:space="preserve">Ungaledarprojektet</t>
  </si>
  <si>
    <t xml:space="preserve">3175?</t>
  </si>
  <si>
    <t xml:space="preserve">Deltagaravgifterna faktureras klubbarna som själva avgör hur mycket de vill sponsra sina löpare.</t>
  </si>
  <si>
    <t xml:space="preserve">Årets ungdom utses av Ungdomsgruppen</t>
  </si>
  <si>
    <t xml:space="preserve">4175?</t>
  </si>
  <si>
    <t xml:space="preserve"> GOF betalar startavgift för GMOK och Tolered/Utby i ungdomsklassen i 10-mila. 10-milaföreningen återbetalar en startavgift.Den höga budgetkostnaden för 2015 inkluderar inköp av priser för ett antal år framöver för Ungdomsserien. Dock gjordes endast inköp för 2015.</t>
  </si>
  <si>
    <t xml:space="preserve">Grundprincipen har tidigare varit att Sommarläger inte skall vara en beräknad inkomst för Ungdomskommittén.</t>
  </si>
  <si>
    <r>
      <rPr>
        <sz val="11"/>
        <color rgb="FF000000"/>
        <rFont val="Calibri"/>
        <family val="2"/>
      </rPr>
      <t>Utbildning &amp; konferenskostnader </t>
    </r>
    <r>
      <rPr>
        <sz val="8"/>
        <rFont val="Arial"/>
        <family val="2"/>
      </rPr>
      <t>(Unga ledare)</t>
    </r>
  </si>
  <si>
    <t xml:space="preserve">Tänkt bidrag om någon/några Göteborgsungdomar går en utbildning som kan tillgodogöras distriktet</t>
  </si>
  <si>
    <t xml:space="preserve">GOF-gruppens träningar för 13-16 åringar bekostas av respektive arrangör. </t>
  </si>
  <si>
    <t xml:space="preserve">På 1-2 år sikt så har alla föreningar blivit belastade med ungefär samma kostnad.</t>
  </si>
  <si>
    <t xml:space="preserve">BUDGETÄSKANDE 2016 U-grupp</t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</si>
  <si>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28-29</t>
    </r>
    <r>
      <rPr>
        <b val="true"/>
        <i val="true"/>
        <sz val="16"/>
        <color rgb="FFFF0000"/>
        <rFont val="Arial"/>
        <family val="2"/>
      </rPr>
      <t> maj i Oslo och Akershus</t>
    </r>
  </si>
  <si>
    <t xml:space="preserve">Resa till Fossum? med buss (ingen mom pga utlandsresa)</t>
  </si>
  <si>
    <t xml:space="preserve">Här blev det tyvärr fel, skulle varit -3000</t>
  </si>
  <si>
    <t xml:space="preserve">Mat/logi (36 st a  450 NOK)    </t>
  </si>
  <si>
    <t xml:space="preserve">Mat/logi ledare (6 st a  450 NOK)    </t>
  </si>
  <si>
    <t xml:space="preserve">Startavgifter, 36 löpare a 70 NOK * 2 starter + 500 NOK prispeng</t>
  </si>
  <si>
    <t xml:space="preserve">36 löpare som betalar 885 kronor var</t>
  </si>
  <si>
    <t xml:space="preserve">Hyra brickor (20NOK/pinne) om Emit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</si>
  <si>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12-14 aug i Varberg (fred-sön)</t>
    </r>
  </si>
  <si>
    <t xml:space="preserve">Mat/logi löpare 60 st * ( 2014 700kr)</t>
  </si>
  <si>
    <t xml:space="preserve">60 löpare (ungdomar) som betalar 1100 kronor var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</si>
  <si>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?? i Värmland</t>
    </r>
  </si>
  <si>
    <t xml:space="preserve">Resa till lägret/tävlingar med buss</t>
  </si>
  <si>
    <t xml:space="preserve">Logi löpare 45st x 2 nätter  Halden SK stuga</t>
  </si>
  <si>
    <t xml:space="preserve">Mat löpare 45st. x 250kr </t>
  </si>
  <si>
    <t xml:space="preserve">45 löpare (ungdomar) som betalar 920 kronor var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</si>
  <si>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16-18 sept i Karlstad (fre-sön)</t>
    </r>
  </si>
  <si>
    <t xml:space="preserve">Resa till Karlstad med buss   </t>
  </si>
  <si>
    <t xml:space="preserve">Frukost, logi för löpare 400kr/natt i tre nätter</t>
  </si>
  <si>
    <t xml:space="preserve">Frukost, logi för ledare  400kr/natt i tre nätter</t>
  </si>
  <si>
    <t xml:space="preserve">32 löpare (ungdomar) som betalar 1500 kronor var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</si>
  <si>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15-16 oktober</t>
    </r>
  </si>
  <si>
    <t xml:space="preserve">Material övrigt ( + flaggor 2000 )</t>
  </si>
  <si>
    <t xml:space="preserve">3177/4177</t>
  </si>
  <si>
    <t xml:space="preserve">10-mila föreningens pris för främjande av nattorientering</t>
  </si>
  <si>
    <t xml:space="preserve">Deltagaravgifter  90*900</t>
  </si>
  <si>
    <t xml:space="preserve">Utbildning</t>
  </si>
  <si>
    <t xml:space="preserve">BUDGET 2008</t>
  </si>
  <si>
    <t xml:space="preserve">REV </t>
  </si>
  <si>
    <t xml:space="preserve">UTFALL 2008</t>
  </si>
  <si>
    <t xml:space="preserve">BUDGET 2009</t>
  </si>
  <si>
    <t xml:space="preserve">BUDGET 2009 GOF</t>
  </si>
  <si>
    <t xml:space="preserve">BUDGETÄSKANDE 2010 U-grupp</t>
  </si>
  <si>
    <t xml:space="preserve">BUDGETÄSKANDE 2011 U-grupp</t>
  </si>
  <si>
    <t xml:space="preserve">BUDGETÄSKANDE 2012 U-grupp</t>
  </si>
  <si>
    <t xml:space="preserve">BUDGETÄSKANDE 2013 U-grupp</t>
  </si>
  <si>
    <t xml:space="preserve">BUDGETÄSKANDE 2014 U-grupp</t>
  </si>
  <si>
    <t xml:space="preserve">BUDGETÄSKANDE 2015 U-grupp</t>
  </si>
  <si>
    <t xml:space="preserve">Princip: GOF betalar resa, startavgifter </t>
  </si>
  <si>
    <t xml:space="preserve">BUDGET</t>
  </si>
  <si>
    <t xml:space="preserve">Princip: GOF nya regler + prutning. April 2009</t>
  </si>
  <si>
    <t xml:space="preserve">och juniorledare</t>
  </si>
  <si>
    <t xml:space="preserve">och ledare</t>
  </si>
  <si>
    <t xml:space="preserve">Från Anders Spånér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</si>
  <si>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Unionsmatchen (31/5-1/6)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</si>
  <si>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Unionsmatchen (fre-sö)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</si>
  <si>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Unionsmatchen 5-6/6 i Kungsbacka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</si>
  <si>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Unionsmatchen 18-19/6 i Drammen Norge (fred.-sön)</t>
    </r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</si>
  <si>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</t>
    </r>
    <r>
      <rPr>
        <b val="true"/>
        <i val="true"/>
        <sz val="16"/>
        <color rgb="FFFF0000"/>
        <rFont val="Arial"/>
        <family val="2"/>
      </rPr>
      <t>9-10 juni i Bohuslän-Dal (lör.-sön)</t>
    </r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</si>
  <si>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8-9</t>
    </r>
    <r>
      <rPr>
        <b val="true"/>
        <i val="true"/>
        <sz val="16"/>
        <color rgb="FFFF0000"/>
        <rFont val="Arial"/>
        <family val="2"/>
      </rPr>
      <t> juni i Göteborg ( Frölunda ) (lör.-sön)</t>
    </r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</si>
  <si>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30 maj-1</t>
    </r>
    <r>
      <rPr>
        <b val="true"/>
        <i val="true"/>
        <sz val="16"/>
        <color rgb="FFFF0000"/>
        <rFont val="Arial"/>
        <family val="2"/>
      </rPr>
      <t> juni i Östfold Norge</t>
    </r>
  </si>
  <si>
    <r>
      <rPr>
        <b val="true"/>
        <sz val="16"/>
        <rFont val="Arial"/>
        <family val="2"/>
      </rPr>
      <t>AKTIVITET </t>
    </r>
    <r>
      <rPr>
        <b val="true"/>
        <sz val="16"/>
        <color rgb="FFFF0000"/>
        <rFont val="Arial"/>
        <family val="2"/>
      </rPr>
      <t>UM 29-31</t>
    </r>
    <r>
      <rPr>
        <b val="true"/>
        <i val="true"/>
        <sz val="16"/>
        <color rgb="FFFF0000"/>
        <rFont val="Arial"/>
        <family val="2"/>
      </rPr>
      <t> maj i Alingsås</t>
    </r>
  </si>
  <si>
    <t xml:space="preserve">Utfall: 29 löpare</t>
  </si>
  <si>
    <t xml:space="preserve">Resa till Trollhättan med buss (som inte stannar kvar)   </t>
  </si>
  <si>
    <t xml:space="preserve">Resa till Oslo med buss   </t>
  </si>
  <si>
    <t xml:space="preserve">Ta in offert</t>
  </si>
  <si>
    <t xml:space="preserve">Resa till xxxx med buss   </t>
  </si>
  <si>
    <t xml:space="preserve">Resa till Moss med buss   (ej moms pga utlanddestination)</t>
  </si>
  <si>
    <t xml:space="preserve">Resa till Alingsås med buss (Behöver vi ha buss?)</t>
  </si>
  <si>
    <t xml:space="preserve">Boende för chaufför (kanske)</t>
  </si>
  <si>
    <t xml:space="preserve">Boende för chaufför</t>
  </si>
  <si>
    <t xml:space="preserve">Mat/logi        </t>
  </si>
  <si>
    <t xml:space="preserve">Mat/logi (42 st a  500 SEK)    </t>
  </si>
  <si>
    <t xml:space="preserve">Mat/logi löpare (36 st a  400 SEK)    </t>
  </si>
  <si>
    <t xml:space="preserve">Mat/logi (36 st a  500 SEK)    </t>
  </si>
  <si>
    <t xml:space="preserve">Mat/logi ledare (6 st a  400 SEK)    </t>
  </si>
  <si>
    <t xml:space="preserve">Mat/logi ledare (6 st a  500 SEK)    </t>
  </si>
  <si>
    <t xml:space="preserve">Startavgifter, 36 löpare a 55 kr * 2 starter + 500 kr prispeng</t>
  </si>
  <si>
    <t xml:space="preserve">Startavgifter, 36 löpare a 65 kr * 2 starter + 600 kr prispeng</t>
  </si>
  <si>
    <r>
      <rPr>
        <sz val="10"/>
        <rFont val="Arial"/>
        <family val="2"/>
      </rPr>
      <t>36 löpare som betalar 400 kronor var </t>
    </r>
    <r>
      <rPr>
        <sz val="10"/>
        <color rgb="FFFF0000"/>
        <rFont val="Arial"/>
        <family val="2"/>
      </rPr>
      <t>(Utfall 450 kr)</t>
    </r>
  </si>
  <si>
    <t xml:space="preserve">36 löpare som betalar 800 kronor var</t>
  </si>
  <si>
    <t xml:space="preserve">36 löpare som betalar 500 kronor var</t>
  </si>
  <si>
    <t xml:space="preserve">36 löpare (ungdomar) som betalar 500 kronor var</t>
  </si>
  <si>
    <t xml:space="preserve">36 löpare som betalar 1000 kronor var</t>
  </si>
  <si>
    <t xml:space="preserve">36 löpare som betalar 750 kronor var</t>
  </si>
  <si>
    <t xml:space="preserve">36 löpare som betalar 700 kronor var</t>
  </si>
  <si>
    <t xml:space="preserve">36 löpare som betalar 850 kronor var</t>
  </si>
  <si>
    <t xml:space="preserve">36 löpare som betalar 610 kronor var</t>
  </si>
  <si>
    <t xml:space="preserve">6 ledare som betalar 0kr.</t>
  </si>
  <si>
    <t xml:space="preserve">Hyra brickor</t>
  </si>
  <si>
    <t xml:space="preserve">1400+5280+3000=9680</t>
  </si>
  <si>
    <t xml:space="preserve">OBS! Kronkursen gör budgeten osäker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</si>
  <si>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9-10/8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</si>
  <si>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8-9/8 norra Halland (lö-sö)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</si>
  <si>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8-98 norra Halland (lö-sö)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</si>
  <si>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Götalansmästerskap 14-15/8 i Skara/Lidköping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</si>
  <si>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Götalansmästerskap 13-14/8 i Göteborg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</si>
  <si>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Götalansmästerskap 10-12 aug i Boxholm, Östergötland (fred-sön)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</si>
  <si>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Götalansmästerskap 17-18 aug på Fårö, Gottland (fred-sön)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</si>
  <si>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15-17 aug i Bengtsfors, Bohuslän-Dal (fred-sön)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</si>
  <si>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Götalandsmästerskap 14-16 aug i Hässleholm, Skåne (fred-sön)</t>
    </r>
  </si>
  <si>
    <t xml:space="preserve">Utfall: 55 löpare</t>
  </si>
  <si>
    <t xml:space="preserve">Resa till Karlshamn, Blekinge (fredag-söndag)</t>
  </si>
  <si>
    <t xml:space="preserve">Inga resekostnader, samordnas av deltagare och klubbar</t>
  </si>
  <si>
    <t xml:space="preserve">Resa till tävling med buss &amp; båt (11360:-)</t>
  </si>
  <si>
    <t xml:space="preserve">Hotell chaufför (1 natt)</t>
  </si>
  <si>
    <t xml:space="preserve">Hotell chaufför (3 nätter)</t>
  </si>
  <si>
    <t xml:space="preserve">Mat/logi, 50 st * (mat 350 + logi 100)</t>
  </si>
  <si>
    <t xml:space="preserve">Mat/logi, 60 st * (mat 300 + logi 50)</t>
  </si>
  <si>
    <t xml:space="preserve">Mat/logi löpare 60 st * (mat 300 + logi 65)</t>
  </si>
  <si>
    <t xml:space="preserve">Mat/logi löpare 60 st * (mat  + logi 400)</t>
  </si>
  <si>
    <t xml:space="preserve">Mat/logi löpare 60 st * (2013 mat  445+ logi 220, 2014 700kr?)</t>
  </si>
  <si>
    <t xml:space="preserve">Mat/logi ledare 6 st * (mat 300 + logi 65)</t>
  </si>
  <si>
    <t xml:space="preserve">Mat/logi ledare 6 st *(mat  + logi 400)</t>
  </si>
  <si>
    <t xml:space="preserve">Startavgifter 45 * 55 kr/start* 2 starter)</t>
  </si>
  <si>
    <t xml:space="preserve">Startavgifter 54* 60 kr/start* 2 starter)</t>
  </si>
  <si>
    <t xml:space="preserve">Startavgifter 60* 65 kr/start* 2 starter)</t>
  </si>
  <si>
    <r>
      <rPr>
        <sz val="10"/>
        <rFont val="Arial"/>
        <family val="2"/>
      </rPr>
      <t>45 löpare som betalar 500 kronor var </t>
    </r>
    <r>
      <rPr>
        <sz val="10"/>
        <color rgb="FFFF0000"/>
        <rFont val="Arial"/>
        <family val="2"/>
      </rPr>
      <t>(Utfall 600 kr)</t>
    </r>
  </si>
  <si>
    <t xml:space="preserve">54 löpare som betalar 400 kronor var</t>
  </si>
  <si>
    <t xml:space="preserve">54 löpare som betalar 350 kronor var</t>
  </si>
  <si>
    <t xml:space="preserve">60 löpare (ungdomar) som betalar 500 kronor var</t>
  </si>
  <si>
    <t xml:space="preserve">60 löpare (ungdomar) som betalar 600 kronor var</t>
  </si>
  <si>
    <t xml:space="preserve">60 löpare (ungdomar) som betalar 767 kronor var</t>
  </si>
  <si>
    <t xml:space="preserve">60 löpare (ungdomar) som betalar 1150 kronor var</t>
  </si>
  <si>
    <t xml:space="preserve">                                        </t>
  </si>
  <si>
    <t xml:space="preserve">    Mat på resan fredag kväll betalas av den tävlande</t>
  </si>
  <si>
    <t xml:space="preserve">7800+2190=9990kr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</si>
  <si>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på våren (21-25/5)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</si>
  <si>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på våren (3 dagar), Löftan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</si>
  <si>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26-30/5 i Örnsköldsvik (ons-sön)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</si>
  <si>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Dalsland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</si>
  <si>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6-7 aug Smålandsstenar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</si>
  <si>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x - x maj Perstorp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</si>
  <si>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8 - 10 maj i Köping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</si>
  <si>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USM-läger 8 - 10 maj i Halden</t>
    </r>
  </si>
  <si>
    <t xml:space="preserve">Utfall: 24 löpare</t>
  </si>
  <si>
    <t xml:space="preserve">Resa  (Hälsingland, Söderhamn onsdag kväll-söndag)</t>
  </si>
  <si>
    <t xml:space="preserve">Resa  (4 minibussar som körs av ledare)</t>
  </si>
  <si>
    <t xml:space="preserve">Hotell chaufför (4 nätter/2)</t>
  </si>
  <si>
    <t xml:space="preserve">ingår ovan</t>
  </si>
  <si>
    <t xml:space="preserve">Hotell chaufför </t>
  </si>
  <si>
    <t xml:space="preserve">Hotell chaufför</t>
  </si>
  <si>
    <r>
      <rPr>
        <sz val="10"/>
        <rFont val="Arial"/>
        <family val="2"/>
      </rPr>
      <t>Logi löpare 42st x 400kr  </t>
    </r>
    <r>
      <rPr>
        <sz val="10"/>
        <color rgb="FFFF0000"/>
        <rFont val="Arial"/>
        <family val="2"/>
      </rPr>
      <t>(47 x400)</t>
    </r>
  </si>
  <si>
    <t xml:space="preserve">Logi löpare 45st x 400kr</t>
  </si>
  <si>
    <t xml:space="preserve">Logi löpare 45st x 2 nätter x 20 kr + 600 per natt Arboga OK stuga</t>
  </si>
  <si>
    <t xml:space="preserve">Mat/logi</t>
  </si>
  <si>
    <t xml:space="preserve">Mat/logi (400/delt) 20 deltagare</t>
  </si>
  <si>
    <t xml:space="preserve">Mat/logi (700/delt)</t>
  </si>
  <si>
    <r>
      <rPr>
        <sz val="10"/>
        <color rgb="FF000000"/>
        <rFont val="Arial"/>
        <family val="2"/>
      </rPr>
      <t>Mat löpare 42st. x 500kr  </t>
    </r>
    <r>
      <rPr>
        <sz val="10"/>
        <color rgb="FFFF0000"/>
        <rFont val="Arial"/>
        <family val="2"/>
      </rPr>
      <t>(47x 500)</t>
    </r>
  </si>
  <si>
    <t xml:space="preserve">Logi ledare 3st (200kr natten x 4 nätter)</t>
  </si>
  <si>
    <t xml:space="preserve">Logi ledare 4st (200kr natten x 2 nätter)</t>
  </si>
  <si>
    <t xml:space="preserve">Mat ledare 3st. x 500kr</t>
  </si>
  <si>
    <r>
      <rPr>
        <sz val="10"/>
        <color rgb="FF000000"/>
        <rFont val="Arial"/>
        <family val="2"/>
      </rPr>
      <t>Träningspaket 45st. (175kr) </t>
    </r>
    <r>
      <rPr>
        <sz val="10"/>
        <color rgb="FFFF0000"/>
        <rFont val="Arial"/>
        <family val="2"/>
      </rPr>
      <t> (50x 150)</t>
    </r>
  </si>
  <si>
    <r>
      <rPr>
        <sz val="10"/>
        <color rgb="FF000000"/>
        <rFont val="Arial"/>
        <family val="2"/>
      </rPr>
      <t>42 löpare (ungdomar) </t>
    </r>
    <r>
      <rPr>
        <sz val="10"/>
        <color rgb="FFFF0000"/>
        <rFont val="Arial"/>
        <family val="2"/>
      </rPr>
      <t>(39)</t>
    </r>
    <r>
      <rPr>
        <sz val="10"/>
        <color rgb="FF000000"/>
        <rFont val="Arial"/>
        <family val="2"/>
      </rPr>
      <t> som betalar 1500 kronor var</t>
    </r>
  </si>
  <si>
    <t xml:space="preserve">45 löpare (ungdomar) som betalar 1000 kronor var</t>
  </si>
  <si>
    <t xml:space="preserve">45 löpare (ungdomar) som betalar 750 kronor var</t>
  </si>
  <si>
    <t xml:space="preserve">45 löpare (ungdomar) som betalar 830 kronor var</t>
  </si>
  <si>
    <t xml:space="preserve">45 löpare (ungdomar) som betalar 800 kronor var</t>
  </si>
  <si>
    <t xml:space="preserve">45 löpare (ungdomar) som betalar 880 kronor var</t>
  </si>
  <si>
    <t xml:space="preserve">Kartor med mera</t>
  </si>
  <si>
    <t xml:space="preserve">Kartor med mera (150 per delt)</t>
  </si>
  <si>
    <t xml:space="preserve">3 ledare som betalar 0 kr</t>
  </si>
  <si>
    <t xml:space="preserve">Eventuellt deltagare från Bohuslän betalar bussresa á 800kr</t>
  </si>
  <si>
    <t xml:space="preserve">   Delad buss med Halland (totalt ca 30000)</t>
  </si>
  <si>
    <t xml:space="preserve">BD 8 x 1775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</si>
  <si>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20-21/9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</si>
  <si>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19-20/9, Löftan (fr-sö)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</si>
  <si>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27-29/8 i Örnsköldsvik (fre-sön)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</si>
  <si>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13-15/9 i Färgelanda (fre-sön)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</si>
  <si>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14-16 sept i Bredaryd, Småland (fre-sön)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</si>
  <si>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20-22 sept i Perstorp, Skåne (fre-sön)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</si>
  <si>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19-21 sept i Köping, Västmanland (fre-sön)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</si>
  <si>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USM 10-13 sept i Sundsvall (to-sön)</t>
    </r>
  </si>
  <si>
    <t xml:space="preserve">Ursprunglig' efter en del prutningar.</t>
  </si>
  <si>
    <t xml:space="preserve">Ursprunglig efter en del prutningar.</t>
  </si>
  <si>
    <t xml:space="preserve">Utfall: 21 löpare</t>
  </si>
  <si>
    <t xml:space="preserve">Resa  (Hälsingland, Söderhamn fredag em-söndag)</t>
  </si>
  <si>
    <t xml:space="preserve">Resa till Örnsköldsvik med buss   </t>
  </si>
  <si>
    <t xml:space="preserve">32 000</t>
  </si>
  <si>
    <t xml:space="preserve">Resa till Högsäter med buss   </t>
  </si>
  <si>
    <t xml:space="preserve">Resa till Perstorp med buss   </t>
  </si>
  <si>
    <t xml:space="preserve">Resa till Köping med buss   </t>
  </si>
  <si>
    <t xml:space="preserve">Resa till Sundsvall med buss   </t>
  </si>
  <si>
    <t xml:space="preserve">Hotell chaufför (2 nätter/2)</t>
  </si>
  <si>
    <t xml:space="preserve">Mat övrigt, inkl logi/mat ledare</t>
  </si>
  <si>
    <t xml:space="preserve">Frukost, middag, inkl logi för löpare</t>
  </si>
  <si>
    <t xml:space="preserve">Frukost, logi för löpare 600kr x 32</t>
  </si>
  <si>
    <t xml:space="preserve">Frukost, logi för löpare 400kr/natt</t>
  </si>
  <si>
    <t xml:space="preserve">Startavgifter, inkl hårt logi och fältluncher</t>
  </si>
  <si>
    <t xml:space="preserve">Startavgifter, inkl.  fältluncher sprint, lång och stafett</t>
  </si>
  <si>
    <t xml:space="preserve">28 080</t>
  </si>
  <si>
    <t xml:space="preserve">Frukost, logi för ledare  600 x 4</t>
  </si>
  <si>
    <t xml:space="preserve">Frukost, logi för ledare  400kr/natt</t>
  </si>
  <si>
    <t xml:space="preserve">Frukost, fältlunch, middag, inkl. logi för ledare</t>
  </si>
  <si>
    <r>
      <rPr>
        <sz val="10"/>
        <rFont val="Arial"/>
        <family val="2"/>
      </rPr>
      <t>20 löpare som betalar 900 kronor var </t>
    </r>
    <r>
      <rPr>
        <sz val="10"/>
        <color rgb="FFFF0000"/>
        <rFont val="Arial"/>
        <family val="2"/>
      </rPr>
      <t>(utfall 950 kr)</t>
    </r>
  </si>
  <si>
    <t xml:space="preserve">20 löpare som betalar 1000 kronor var</t>
  </si>
  <si>
    <t xml:space="preserve">32 löpare (ungdomar) som betalar 1000 kronor var</t>
  </si>
  <si>
    <t xml:space="preserve">Kostnad för kvällsfika (50% Halland, dras av på bussfakturan)</t>
  </si>
  <si>
    <t xml:space="preserve">    Mat på bussresa betalas av deltagarna</t>
  </si>
  <si>
    <t xml:space="preserve">Eventuellt medföljande förälder á 1500kr (resa, logi och mat)</t>
  </si>
  <si>
    <t xml:space="preserve">32 löpare (ungdomar) som betalar 1600 kronor var</t>
  </si>
  <si>
    <t xml:space="preserve">32 löpare (ungdomar) som betalar 2100 kronor var</t>
  </si>
  <si>
    <t xml:space="preserve">Eventuellt deltagare från Bohuslän á 800kr  (bussresa)</t>
  </si>
  <si>
    <t xml:space="preserve">15 400</t>
  </si>
  <si>
    <t xml:space="preserve">    Delad buss med Halland (totalt ca 25000)</t>
  </si>
  <si>
    <t xml:space="preserve">Startavgifter 32x520 kr inkl. fältlunch (sprint och lång)</t>
  </si>
  <si>
    <t xml:space="preserve">Startavgift  stafett 8x1000 inkl. fätlunch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</si>
  <si>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</si>
  <si>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16-17/10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</si>
  <si>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15-16/10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</si>
  <si>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13-14 oktober med prel.resa ihop med Västergötland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</si>
  <si>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19-20 oktober med prel.resa ihop med Västergötland (lör-sön)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</si>
  <si>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18-19 oktober</t>
    </r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</si>
  <si>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Daladubbeln 17-18 oktober</t>
    </r>
  </si>
  <si>
    <t xml:space="preserve">Ledarersättning (resa, kost, logi) 3 ledare</t>
  </si>
  <si>
    <r>
      <rPr>
        <sz val="10"/>
        <rFont val="Arial"/>
        <family val="2"/>
      </rPr>
      <t>Ledarersättning (resa, kost, logi) </t>
    </r>
    <r>
      <rPr>
        <sz val="10"/>
        <color rgb="FFFF0000"/>
        <rFont val="Arial"/>
        <family val="2"/>
      </rPr>
      <t>1</t>
    </r>
    <r>
      <rPr>
        <sz val="11"/>
        <color rgb="FF000000"/>
        <rFont val="Calibri"/>
        <family val="2"/>
      </rPr>
      <t> ledare</t>
    </r>
  </si>
  <si>
    <t xml:space="preserve">Ledarersättning (resa, kost, logi) 2 ledare </t>
  </si>
  <si>
    <t xml:space="preserve">Deltagarna betalar hela resan (arr. Västergötland)</t>
  </si>
  <si>
    <t xml:space="preserve">Ledarersättning (resa, kost, logi) 4 ledare </t>
  </si>
  <si>
    <t xml:space="preserve">minskat 2300 med bara 1 ledare</t>
  </si>
  <si>
    <r>
      <rPr>
        <b val="true"/>
        <sz val="16"/>
        <rFont val="Arial"/>
        <family val="2"/>
      </rPr>
      <t>AKTIVITET </t>
    </r>
    <r>
      <rPr>
        <b val="true"/>
        <i val="true"/>
        <sz val="16"/>
        <color rgb="FFFF0000"/>
        <rFont val="Arial"/>
        <family val="2"/>
      </rPr>
      <t>Material</t>
    </r>
  </si>
  <si>
    <t xml:space="preserve">Utfall: 79 tröjor</t>
  </si>
  <si>
    <t xml:space="preserve">Inköp Distriktsjackor 50 st á 400 kr</t>
  </si>
  <si>
    <t xml:space="preserve">Inköp Tävlingströjer modell större 8 st á 400 kr</t>
  </si>
  <si>
    <t xml:space="preserve">GOF subventionerar tryck 100 kr/jacka</t>
  </si>
  <si>
    <t xml:space="preserve">minskat 4000</t>
  </si>
  <si>
    <t xml:space="preserve">Summa:</t>
  </si>
  <si>
    <t xml:space="preserve">Summa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</si>
</sst>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#,##0.0"/>
    <numFmt numFmtId="167" formatCode="0.0"/>
    <numFmt numFmtId="168" formatCode="#,##0"/>
    <numFmt numFmtId="169" formatCode="0.000"/>
  </numFmts>
  <fonts count="3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2"/>
      <color rgb="FF000000"/>
      <name val="Arial"/>
      <family val="2"/>
    </font>
    <font>
      <b val="true"/>
      <sz val="16"/>
      <color rgb="FF000000"/>
      <name val="Arial"/>
      <family val="2"/>
    </font>
    <font>
      <b val="true"/>
      <sz val="13"/>
      <color rgb="FF000000"/>
      <name val="Arial"/>
      <family val="2"/>
    </font>
    <font>
      <b val="true"/>
      <u val="single"/>
      <sz val="11"/>
      <color rgb="FF000000"/>
      <name val="Arial"/>
      <family val="2"/>
    </font>
    <font>
      <b val="true"/>
      <sz val="10"/>
      <color rgb="FF000000"/>
      <name val="Arial"/>
      <family val="2"/>
    </font>
    <font>
      <b val="true"/>
      <sz val="11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8"/>
      <name val="Arial"/>
      <family val="2"/>
    </font>
    <font>
      <b val="true"/>
      <sz val="12"/>
      <name val="Arial"/>
      <family val="2"/>
    </font>
    <font>
      <i val="true"/>
      <sz val="10"/>
      <name val="Arial"/>
      <family val="2"/>
    </font>
    <font>
      <sz val="11"/>
      <color rgb="FF000000"/>
      <name val="Arial"/>
      <family val="2"/>
    </font>
    <font>
      <i val="true"/>
      <sz val="11"/>
      <name val="Arial"/>
      <family val="2"/>
    </font>
    <font>
      <i val="true"/>
      <sz val="10"/>
      <color rgb="FF000000"/>
      <name val="Arial"/>
      <family val="2"/>
    </font>
    <font>
      <sz val="9"/>
      <color rgb="FF000000"/>
      <name val="Arial"/>
      <family val="2"/>
    </font>
    <font>
      <b val="true"/>
      <sz val="18"/>
      <name val="Arial"/>
      <family val="2"/>
    </font>
    <font>
      <b val="true"/>
      <sz val="16"/>
      <name val="Arial"/>
      <family val="2"/>
    </font>
    <font>
      <b val="true"/>
      <sz val="16"/>
      <color rgb="FFFF0000"/>
      <name val="Arial"/>
      <family val="2"/>
    </font>
    <font>
      <b val="true"/>
      <i val="true"/>
      <sz val="16"/>
      <color rgb="FFFF0000"/>
      <name val="Arial"/>
      <family val="2"/>
    </font>
    <font>
      <b val="true"/>
      <sz val="14"/>
      <name val="Arial"/>
      <family val="2"/>
    </font>
    <font>
      <sz val="10"/>
      <color rgb="FFFF0000"/>
      <name val="Arial"/>
      <family val="2"/>
    </font>
    <font>
      <sz val="10"/>
      <color rgb="FF0066CC"/>
      <name val="Arial"/>
      <family val="2"/>
    </font>
    <font>
      <b val="true"/>
      <sz val="9"/>
      <color rgb="FF000000"/>
      <name val="Tahoma"/>
      <family val="2"/>
    </font>
    <font>
      <sz val="9"/>
      <color rgb="FF000000"/>
      <name val="Tahoma"/>
      <family val="2"/>
    </font>
    <font>
      <i val="true"/>
      <sz val="11"/>
      <color rgb="FF000000"/>
      <name val="Arial"/>
      <family val="2"/>
    </font>
    <font>
      <sz val="10"/>
      <color rgb="FFFFFF00"/>
      <name val="Arial"/>
      <family val="2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99CC00"/>
        <bgColor rgb="FFFFC00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/>
      <right/>
      <top style="thick"/>
      <bottom/>
      <diagonal/>
    </border>
    <border diagonalUp="false" diagonalDown="false">
      <left/>
      <right style="hair"/>
      <top style="thick"/>
      <bottom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1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8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1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5" borderId="1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1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5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2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6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6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6" borderId="6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5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7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5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0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7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0" fillId="5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0" fillId="5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5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6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1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8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2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3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2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5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5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8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5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6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0" fillId="5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0" fillId="5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4" fillId="5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5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8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6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5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5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9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5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5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5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5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103320</xdr:colOff>
      <xdr:row>0</xdr:row>
      <xdr:rowOff>0</xdr:rowOff>
    </xdr:from>
    <xdr:to>
      <xdr:col>1</xdr:col>
      <xdr:colOff>542160</xdr:colOff>
      <xdr:row>4</xdr:row>
      <xdr:rowOff>95040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03320" y="0"/>
          <a:ext cx="1036080" cy="869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4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0" activeCellId="0" sqref="B40"/>
    </sheetView>
  </sheetViews>
  <sheetFormatPr defaultRowHeight="15.25"/>
  <cols>
    <col collapsed="false" hidden="false" max="1" min="1" style="1" width="11.7704081632653"/>
    <col collapsed="false" hidden="false" max="2" min="2" style="2" width="39.9132653061224"/>
    <col collapsed="false" hidden="false" max="3" min="3" style="2" width="15.0765306122449"/>
    <col collapsed="false" hidden="false" max="4" min="4" style="2" width="15.3622448979592"/>
    <col collapsed="false" hidden="false" max="5" min="5" style="3" width="12.780612244898"/>
    <col collapsed="false" hidden="false" max="6" min="6" style="2" width="53.3775510204082"/>
    <col collapsed="false" hidden="false" max="8" min="7" style="2" width="6.89285714285714"/>
    <col collapsed="false" hidden="false" max="9" min="9" style="2" width="8.20918367346939"/>
    <col collapsed="false" hidden="false" max="10" min="10" style="2" width="10.4744897959184"/>
    <col collapsed="false" hidden="false" max="256" min="11" style="2" width="10.0510204081633"/>
    <col collapsed="false" hidden="false" max="257" min="257" style="2" width="12.6377551020408"/>
    <col collapsed="false" hidden="false" max="258" min="258" style="2" width="38.7704081632653"/>
    <col collapsed="false" hidden="false" max="259" min="259" style="2" width="12.780612244898"/>
    <col collapsed="false" hidden="false" max="260" min="260" style="2" width="10.9183673469388"/>
    <col collapsed="false" hidden="false" max="261" min="261" style="2" width="10.6173469387755"/>
    <col collapsed="false" hidden="false" max="263" min="262" style="2" width="6.89285714285714"/>
    <col collapsed="false" hidden="false" max="264" min="264" style="2" width="6.31632653061225"/>
    <col collapsed="false" hidden="false" max="265" min="265" style="2" width="17.234693877551"/>
    <col collapsed="false" hidden="false" max="512" min="266" style="2" width="10.0510204081633"/>
    <col collapsed="false" hidden="false" max="513" min="513" style="2" width="12.6377551020408"/>
    <col collapsed="false" hidden="false" max="514" min="514" style="2" width="38.7704081632653"/>
    <col collapsed="false" hidden="false" max="515" min="515" style="2" width="12.780612244898"/>
    <col collapsed="false" hidden="false" max="516" min="516" style="2" width="10.9183673469388"/>
    <col collapsed="false" hidden="false" max="517" min="517" style="2" width="10.6173469387755"/>
    <col collapsed="false" hidden="false" max="519" min="518" style="2" width="6.89285714285714"/>
    <col collapsed="false" hidden="false" max="520" min="520" style="2" width="6.31632653061225"/>
    <col collapsed="false" hidden="false" max="521" min="521" style="2" width="17.234693877551"/>
    <col collapsed="false" hidden="false" max="768" min="522" style="2" width="10.0510204081633"/>
    <col collapsed="false" hidden="false" max="769" min="769" style="2" width="12.6377551020408"/>
    <col collapsed="false" hidden="false" max="770" min="770" style="2" width="38.7704081632653"/>
    <col collapsed="false" hidden="false" max="771" min="771" style="2" width="12.780612244898"/>
    <col collapsed="false" hidden="false" max="772" min="772" style="2" width="10.9183673469388"/>
    <col collapsed="false" hidden="false" max="773" min="773" style="2" width="10.6173469387755"/>
    <col collapsed="false" hidden="false" max="775" min="774" style="2" width="6.89285714285714"/>
    <col collapsed="false" hidden="false" max="776" min="776" style="2" width="6.31632653061225"/>
    <col collapsed="false" hidden="false" max="777" min="777" style="2" width="17.234693877551"/>
    <col collapsed="false" hidden="false" max="1020" min="778" style="2" width="10.0510204081633"/>
  </cols>
  <sheetData>
    <row r="1" customFormat="false" ht="20.05" hidden="false" customHeight="false" outlineLevel="0" collapsed="false">
      <c r="A1" s="4" t="s">
        <v>0</v>
      </c>
      <c r="B1" s="5"/>
      <c r="C1" s="5"/>
      <c r="D1" s="5"/>
      <c r="J1" s="5"/>
      <c r="K1" s="5"/>
      <c r="L1" s="5"/>
      <c r="M1" s="5"/>
      <c r="N1" s="5"/>
      <c r="O1" s="5"/>
    </row>
    <row r="2" customFormat="false" ht="27" hidden="false" customHeight="true" outlineLevel="0" collapsed="false">
      <c r="A2" s="6" t="s">
        <v>1</v>
      </c>
      <c r="B2" s="7" t="s">
        <v>2</v>
      </c>
      <c r="C2" s="8" t="s">
        <v>3</v>
      </c>
      <c r="D2" s="7"/>
      <c r="F2" s="5"/>
      <c r="G2" s="5"/>
      <c r="H2" s="5"/>
      <c r="I2" s="5"/>
      <c r="J2" s="5" t="s">
        <v>4</v>
      </c>
      <c r="K2" s="5"/>
      <c r="L2" s="5"/>
      <c r="M2" s="5"/>
      <c r="N2" s="5"/>
      <c r="O2" s="5"/>
    </row>
    <row r="3" customFormat="false" ht="18.95" hidden="false" customHeight="true" outlineLevel="0" collapsed="false">
      <c r="B3" s="9"/>
      <c r="C3" s="3" t="s">
        <v>5</v>
      </c>
      <c r="D3" s="10" t="s">
        <v>6</v>
      </c>
      <c r="E3" s="10" t="s">
        <v>5</v>
      </c>
      <c r="F3" s="11" t="s">
        <v>7</v>
      </c>
      <c r="G3" s="12"/>
      <c r="H3" s="3" t="s">
        <v>5</v>
      </c>
      <c r="I3" s="10" t="s">
        <v>6</v>
      </c>
      <c r="J3" s="10" t="s">
        <v>5</v>
      </c>
      <c r="K3" s="13"/>
      <c r="L3" s="13"/>
      <c r="M3" s="5"/>
      <c r="N3" s="5"/>
      <c r="O3" s="5"/>
    </row>
    <row r="4" customFormat="false" ht="15" hidden="false" customHeight="true" outlineLevel="0" collapsed="false">
      <c r="A4" s="14" t="s">
        <v>8</v>
      </c>
      <c r="B4" s="5"/>
      <c r="C4" s="3" t="n">
        <v>2017</v>
      </c>
      <c r="D4" s="15" t="n">
        <v>2016</v>
      </c>
      <c r="E4" s="15" t="n">
        <v>2016</v>
      </c>
      <c r="F4" s="16" t="s">
        <v>9</v>
      </c>
      <c r="G4" s="17"/>
      <c r="H4" s="3" t="n">
        <v>2017</v>
      </c>
      <c r="I4" s="15" t="n">
        <v>2016</v>
      </c>
      <c r="J4" s="15" t="n">
        <v>2016</v>
      </c>
      <c r="K4" s="13"/>
      <c r="L4" s="13"/>
      <c r="M4" s="5"/>
      <c r="N4" s="5"/>
      <c r="O4" s="5"/>
    </row>
    <row r="5" customFormat="false" ht="15.25" hidden="false" customHeight="false" outlineLevel="0" collapsed="false">
      <c r="A5" s="18" t="n">
        <v>3171</v>
      </c>
      <c r="B5" s="19" t="s">
        <v>10</v>
      </c>
      <c r="C5" s="20" t="n">
        <v>32.4</v>
      </c>
      <c r="D5" s="21" t="n">
        <v>40.7</v>
      </c>
      <c r="E5" s="22" t="n">
        <v>31.9</v>
      </c>
      <c r="F5" s="16" t="s">
        <v>11</v>
      </c>
      <c r="G5" s="17"/>
      <c r="H5" s="23" t="n">
        <f aca="false">C5-C27</f>
        <v>-6</v>
      </c>
      <c r="I5" s="23" t="n">
        <f aca="false">D5-D27</f>
        <v>-3.956</v>
      </c>
      <c r="J5" s="23" t="n">
        <f aca="false">E5-E27</f>
        <v>-3.9</v>
      </c>
      <c r="K5" s="24"/>
      <c r="L5" s="24"/>
      <c r="M5" s="5"/>
      <c r="N5" s="5"/>
      <c r="O5" s="5"/>
    </row>
    <row r="6" s="30" customFormat="true" ht="15.25" hidden="false" customHeight="false" outlineLevel="0" collapsed="false">
      <c r="A6" s="25" t="n">
        <v>3172</v>
      </c>
      <c r="B6" s="26" t="s">
        <v>12</v>
      </c>
      <c r="C6" s="27" t="n">
        <v>78</v>
      </c>
      <c r="D6" s="28" t="n">
        <v>48.82</v>
      </c>
      <c r="E6" s="27" t="n">
        <v>66</v>
      </c>
      <c r="F6" s="16"/>
      <c r="G6" s="17"/>
      <c r="H6" s="23" t="n">
        <f aca="false">C6-C28</f>
        <v>-7.90000000000001</v>
      </c>
      <c r="I6" s="23" t="n">
        <f aca="false">D6-D28</f>
        <v>-7.223</v>
      </c>
      <c r="J6" s="23" t="n">
        <f aca="false">E6-E28</f>
        <v>-8.40000000000001</v>
      </c>
      <c r="K6" s="15"/>
      <c r="L6" s="15"/>
      <c r="M6" s="29"/>
      <c r="N6" s="29"/>
      <c r="O6" s="29"/>
      <c r="AMG6" s="0"/>
      <c r="AMH6" s="0"/>
      <c r="AMI6" s="0"/>
      <c r="AMJ6" s="0"/>
    </row>
    <row r="7" s="30" customFormat="true" ht="15.25" hidden="false" customHeight="false" outlineLevel="0" collapsed="false">
      <c r="A7" s="31" t="n">
        <v>3173</v>
      </c>
      <c r="B7" s="32" t="s">
        <v>13</v>
      </c>
      <c r="C7" s="27" t="n">
        <v>34</v>
      </c>
      <c r="D7" s="32" t="n">
        <v>40.6</v>
      </c>
      <c r="E7" s="27" t="n">
        <v>36.8</v>
      </c>
      <c r="F7" s="17"/>
      <c r="G7" s="17"/>
      <c r="H7" s="23" t="n">
        <f aca="false">C7-C29</f>
        <v>-5</v>
      </c>
      <c r="I7" s="23" t="n">
        <f aca="false">D7-D29</f>
        <v>-4.586</v>
      </c>
      <c r="J7" s="23" t="n">
        <f aca="false">E7-E29</f>
        <v>-6</v>
      </c>
      <c r="K7" s="33"/>
      <c r="L7" s="33"/>
      <c r="M7" s="29"/>
      <c r="N7" s="29"/>
      <c r="O7" s="29"/>
      <c r="AMG7" s="0"/>
      <c r="AMH7" s="0"/>
      <c r="AMI7" s="0"/>
      <c r="AMJ7" s="0"/>
    </row>
    <row r="8" customFormat="false" ht="15.25" hidden="false" customHeight="false" outlineLevel="0" collapsed="false">
      <c r="A8" s="31" t="n">
        <v>3174</v>
      </c>
      <c r="B8" s="32" t="s">
        <v>14</v>
      </c>
      <c r="C8" s="27" t="n">
        <v>64</v>
      </c>
      <c r="D8" s="32" t="n">
        <v>38.86</v>
      </c>
      <c r="E8" s="27" t="n">
        <v>48</v>
      </c>
      <c r="F8" s="17"/>
      <c r="G8" s="17"/>
      <c r="H8" s="23" t="n">
        <f aca="false">C8-C30</f>
        <v>-54.9</v>
      </c>
      <c r="I8" s="23" t="n">
        <f aca="false">D8-D30</f>
        <v>-36.49</v>
      </c>
      <c r="J8" s="23" t="n">
        <f aca="false">E8-E30</f>
        <v>-29.4</v>
      </c>
      <c r="K8" s="33"/>
      <c r="L8" s="33"/>
      <c r="M8" s="5"/>
      <c r="N8" s="5"/>
      <c r="O8" s="5"/>
    </row>
    <row r="9" customFormat="false" ht="15.25" hidden="false" customHeight="false" outlineLevel="0" collapsed="false">
      <c r="A9" s="34" t="n">
        <v>3175</v>
      </c>
      <c r="B9" s="32" t="s">
        <v>15</v>
      </c>
      <c r="C9" s="27" t="n">
        <v>81.7</v>
      </c>
      <c r="D9" s="32" t="n">
        <v>76.55</v>
      </c>
      <c r="E9" s="27" t="n">
        <v>79.8</v>
      </c>
      <c r="F9" s="17"/>
      <c r="G9" s="17"/>
      <c r="H9" s="23" t="n">
        <f aca="false">C9-C31</f>
        <v>0</v>
      </c>
      <c r="I9" s="23" t="n">
        <f aca="false">D9-D31</f>
        <v>0.170000000000002</v>
      </c>
      <c r="J9" s="23" t="n">
        <f aca="false">E9-E31</f>
        <v>0</v>
      </c>
      <c r="K9" s="33"/>
      <c r="L9" s="33"/>
      <c r="M9" s="5"/>
      <c r="N9" s="5"/>
      <c r="O9" s="5"/>
    </row>
    <row r="10" s="30" customFormat="true" ht="15.25" hidden="false" customHeight="false" outlineLevel="0" collapsed="false">
      <c r="A10" s="31" t="n">
        <v>3177</v>
      </c>
      <c r="B10" s="32" t="s">
        <v>16</v>
      </c>
      <c r="C10" s="27" t="n">
        <v>26</v>
      </c>
      <c r="D10" s="28" t="n">
        <f aca="false">26.4+0.53</f>
        <v>26.93</v>
      </c>
      <c r="E10" s="27" t="n">
        <v>23.5</v>
      </c>
      <c r="F10" s="16" t="s">
        <v>17</v>
      </c>
      <c r="G10" s="17"/>
      <c r="H10" s="23" t="n">
        <f aca="false">C10-C32</f>
        <v>10.5</v>
      </c>
      <c r="I10" s="23" t="n">
        <f aca="false">D10-D32</f>
        <v>20.222</v>
      </c>
      <c r="J10" s="23" t="n">
        <f aca="false">E10-E32</f>
        <v>7</v>
      </c>
      <c r="K10" s="33"/>
      <c r="L10" s="33"/>
      <c r="M10" s="29"/>
      <c r="N10" s="29"/>
      <c r="O10" s="29"/>
      <c r="AMG10" s="0"/>
      <c r="AMH10" s="0"/>
      <c r="AMI10" s="0"/>
      <c r="AMJ10" s="0"/>
    </row>
    <row r="11" customFormat="false" ht="15.25" hidden="false" customHeight="false" outlineLevel="0" collapsed="false">
      <c r="A11" s="31" t="n">
        <v>3178</v>
      </c>
      <c r="B11" s="32" t="s">
        <v>18</v>
      </c>
      <c r="C11" s="35" t="n">
        <v>72</v>
      </c>
      <c r="D11" s="32" t="n">
        <v>87.45</v>
      </c>
      <c r="E11" s="27" t="n">
        <v>81</v>
      </c>
      <c r="F11" s="17"/>
      <c r="G11" s="17"/>
      <c r="H11" s="23" t="n">
        <f aca="false">C11-C33</f>
        <v>0</v>
      </c>
      <c r="I11" s="23" t="n">
        <f aca="false">D11-D33</f>
        <v>25.162</v>
      </c>
      <c r="J11" s="23" t="n">
        <f aca="false">E11-E33</f>
        <v>5</v>
      </c>
      <c r="K11" s="36"/>
      <c r="L11" s="33"/>
      <c r="M11" s="5"/>
      <c r="N11" s="5"/>
      <c r="O11" s="5"/>
    </row>
    <row r="12" customFormat="false" ht="15.25" hidden="false" customHeight="false" outlineLevel="0" collapsed="false">
      <c r="A12" s="34" t="n">
        <v>3540</v>
      </c>
      <c r="B12" s="32" t="s">
        <v>19</v>
      </c>
      <c r="C12" s="27"/>
      <c r="D12" s="32" t="n">
        <v>0</v>
      </c>
      <c r="E12" s="27"/>
      <c r="F12" s="17"/>
      <c r="G12" s="17"/>
      <c r="H12" s="23" t="n">
        <f aca="false">C12-C23</f>
        <v>-7.5</v>
      </c>
      <c r="I12" s="23" t="n">
        <f aca="false">D12-D23</f>
        <v>-1.917</v>
      </c>
      <c r="J12" s="23" t="n">
        <f aca="false">E12-E23</f>
        <v>-2</v>
      </c>
      <c r="K12" s="33"/>
      <c r="L12" s="33"/>
      <c r="M12" s="5"/>
      <c r="N12" s="5"/>
      <c r="O12" s="5"/>
    </row>
    <row r="13" customFormat="false" ht="15.25" hidden="false" customHeight="false" outlineLevel="0" collapsed="false">
      <c r="A13" s="34"/>
      <c r="B13" s="32"/>
      <c r="C13" s="27"/>
      <c r="D13" s="32"/>
      <c r="E13" s="27"/>
      <c r="F13" s="17"/>
      <c r="G13" s="17"/>
      <c r="H13" s="23"/>
      <c r="I13" s="23"/>
      <c r="J13" s="23"/>
      <c r="K13" s="37"/>
      <c r="L13" s="33"/>
      <c r="M13" s="5"/>
      <c r="N13" s="5"/>
      <c r="O13" s="5"/>
    </row>
    <row r="14" s="30" customFormat="true" ht="15.25" hidden="false" customHeight="false" outlineLevel="0" collapsed="false">
      <c r="A14" s="34"/>
      <c r="B14" s="32" t="s">
        <v>20</v>
      </c>
      <c r="C14" s="27" t="n">
        <v>5</v>
      </c>
      <c r="D14" s="32"/>
      <c r="E14" s="27" t="n">
        <v>5</v>
      </c>
      <c r="F14" s="17"/>
      <c r="G14" s="17"/>
      <c r="H14" s="23"/>
      <c r="I14" s="23"/>
      <c r="J14" s="23"/>
      <c r="K14" s="36"/>
      <c r="L14" s="33"/>
      <c r="M14" s="29"/>
      <c r="N14" s="29"/>
      <c r="O14" s="29"/>
      <c r="AMG14" s="0"/>
      <c r="AMH14" s="0"/>
      <c r="AMI14" s="0"/>
      <c r="AMJ14" s="0"/>
    </row>
    <row r="15" s="30" customFormat="true" ht="15.25" hidden="false" customHeight="false" outlineLevel="0" collapsed="false">
      <c r="A15" s="34"/>
      <c r="B15" s="32"/>
      <c r="C15" s="27"/>
      <c r="D15" s="32"/>
      <c r="E15" s="27"/>
      <c r="F15" s="17"/>
      <c r="G15" s="17"/>
      <c r="H15" s="23"/>
      <c r="I15" s="23"/>
      <c r="J15" s="23"/>
      <c r="K15" s="37"/>
      <c r="L15" s="33"/>
      <c r="M15" s="29"/>
      <c r="N15" s="29"/>
      <c r="O15" s="29"/>
      <c r="AMG15" s="0"/>
      <c r="AMH15" s="0"/>
      <c r="AMI15" s="0"/>
      <c r="AMJ15" s="0"/>
    </row>
    <row r="16" s="30" customFormat="true" ht="15.25" hidden="false" customHeight="false" outlineLevel="0" collapsed="false">
      <c r="A16" s="34"/>
      <c r="B16" s="32" t="s">
        <v>21</v>
      </c>
      <c r="C16" s="27"/>
      <c r="D16" s="32"/>
      <c r="E16" s="27"/>
      <c r="F16" s="17"/>
      <c r="G16" s="17"/>
      <c r="H16" s="23" t="n">
        <f aca="false">C16-C34</f>
        <v>-1</v>
      </c>
      <c r="I16" s="23" t="n">
        <f aca="false">D16-D34</f>
        <v>0</v>
      </c>
      <c r="J16" s="23" t="n">
        <f aca="false">E16-E34</f>
        <v>-1</v>
      </c>
      <c r="K16" s="33"/>
      <c r="L16" s="33"/>
      <c r="M16" s="29"/>
      <c r="N16" s="29"/>
      <c r="O16" s="29"/>
      <c r="AMG16" s="0"/>
      <c r="AMH16" s="0"/>
      <c r="AMI16" s="0"/>
      <c r="AMJ16" s="0"/>
    </row>
    <row r="17" s="30" customFormat="true" ht="15.25" hidden="false" customHeight="false" outlineLevel="0" collapsed="false">
      <c r="A17" s="31"/>
      <c r="B17" s="32"/>
      <c r="C17" s="27"/>
      <c r="D17" s="32"/>
      <c r="E17" s="27"/>
      <c r="F17" s="17"/>
      <c r="G17" s="17"/>
      <c r="H17" s="23"/>
      <c r="I17" s="23"/>
      <c r="J17" s="23"/>
      <c r="K17" s="33"/>
      <c r="L17" s="33"/>
      <c r="M17" s="29"/>
      <c r="N17" s="29"/>
      <c r="O17" s="29"/>
      <c r="AMG17" s="0"/>
      <c r="AMH17" s="0"/>
      <c r="AMI17" s="0"/>
      <c r="AMJ17" s="0"/>
    </row>
    <row r="18" customFormat="false" ht="15.25" hidden="false" customHeight="false" outlineLevel="0" collapsed="false">
      <c r="A18" s="38"/>
      <c r="B18" s="39"/>
      <c r="C18" s="40"/>
      <c r="D18" s="39"/>
      <c r="E18" s="40"/>
      <c r="F18" s="17"/>
      <c r="G18" s="17"/>
      <c r="H18" s="23"/>
      <c r="I18" s="23"/>
      <c r="J18" s="23"/>
      <c r="K18" s="33"/>
      <c r="L18" s="33"/>
      <c r="M18" s="5"/>
      <c r="N18" s="5"/>
      <c r="O18" s="5"/>
    </row>
    <row r="19" customFormat="false" ht="15.25" hidden="false" customHeight="false" outlineLevel="0" collapsed="false">
      <c r="A19" s="1" t="s">
        <v>22</v>
      </c>
      <c r="C19" s="41" t="n">
        <f aca="false">SUM(C5:C18)</f>
        <v>393.1</v>
      </c>
      <c r="D19" s="42" t="n">
        <f aca="false">SUM(D6:D18)</f>
        <v>319.21</v>
      </c>
      <c r="E19" s="41" t="n">
        <f aca="false">SUM(E5:E18)</f>
        <v>372</v>
      </c>
      <c r="F19" s="17"/>
      <c r="G19" s="17"/>
      <c r="H19" s="23" t="n">
        <f aca="false">C19-C39</f>
        <v>-104.7</v>
      </c>
      <c r="I19" s="23" t="n">
        <f aca="false">D19-D39</f>
        <v>-50.609</v>
      </c>
      <c r="J19" s="23" t="n">
        <f aca="false">E19-E39</f>
        <v>-51.7</v>
      </c>
      <c r="K19" s="33"/>
      <c r="L19" s="33"/>
      <c r="M19" s="5"/>
      <c r="N19" s="5"/>
      <c r="O19" s="5"/>
    </row>
    <row r="20" customFormat="false" ht="15.25" hidden="false" customHeight="false" outlineLevel="0" collapsed="false">
      <c r="E20" s="43"/>
      <c r="F20" s="44"/>
      <c r="G20" s="44"/>
      <c r="H20" s="44"/>
      <c r="I20" s="44"/>
      <c r="J20" s="45"/>
      <c r="K20" s="33"/>
      <c r="L20" s="33"/>
      <c r="M20" s="5"/>
      <c r="N20" s="5"/>
      <c r="O20" s="5"/>
    </row>
    <row r="21" customFormat="false" ht="15.25" hidden="false" customHeight="false" outlineLevel="0" collapsed="false">
      <c r="E21" s="43"/>
      <c r="F21" s="44"/>
      <c r="G21" s="44"/>
      <c r="H21" s="44"/>
      <c r="I21" s="44"/>
      <c r="J21" s="45"/>
      <c r="K21" s="33"/>
      <c r="L21" s="33"/>
      <c r="M21" s="5"/>
      <c r="N21" s="5"/>
      <c r="O21" s="5"/>
    </row>
    <row r="22" customFormat="false" ht="15.25" hidden="false" customHeight="false" outlineLevel="0" collapsed="false">
      <c r="A22" s="14" t="s">
        <v>23</v>
      </c>
      <c r="B22" s="46"/>
      <c r="C22" s="46"/>
      <c r="D22" s="46"/>
      <c r="E22" s="43"/>
      <c r="F22" s="47"/>
      <c r="G22" s="47"/>
      <c r="H22" s="47"/>
      <c r="I22" s="47"/>
      <c r="J22" s="45"/>
      <c r="K22" s="33"/>
      <c r="L22" s="33"/>
      <c r="M22" s="5"/>
      <c r="N22" s="5"/>
      <c r="O22" s="5"/>
    </row>
    <row r="23" customFormat="false" ht="15.25" hidden="false" customHeight="false" outlineLevel="0" collapsed="false">
      <c r="A23" s="34" t="n">
        <v>4015</v>
      </c>
      <c r="B23" s="32" t="s">
        <v>24</v>
      </c>
      <c r="C23" s="27" t="n">
        <v>7.5</v>
      </c>
      <c r="D23" s="32" t="n">
        <v>1.917</v>
      </c>
      <c r="E23" s="27" t="n">
        <v>2</v>
      </c>
      <c r="F23" s="17"/>
      <c r="G23" s="17"/>
      <c r="H23" s="17"/>
      <c r="I23" s="17"/>
      <c r="J23" s="45"/>
      <c r="K23" s="33"/>
      <c r="L23" s="33"/>
      <c r="M23" s="5"/>
      <c r="N23" s="5"/>
      <c r="O23" s="5"/>
    </row>
    <row r="24" customFormat="false" ht="15.25" hidden="false" customHeight="false" outlineLevel="0" collapsed="false">
      <c r="A24" s="31" t="n">
        <v>4020</v>
      </c>
      <c r="B24" s="32" t="s">
        <v>25</v>
      </c>
      <c r="C24" s="27" t="n">
        <v>2.9</v>
      </c>
      <c r="D24" s="48" t="n">
        <f aca="false">0.166+1.125</f>
        <v>1.291</v>
      </c>
      <c r="E24" s="27" t="n">
        <v>3</v>
      </c>
      <c r="F24" s="16"/>
      <c r="G24" s="17"/>
      <c r="H24" s="17"/>
      <c r="I24" s="17"/>
      <c r="J24" s="45"/>
      <c r="K24" s="33"/>
      <c r="L24" s="33"/>
      <c r="M24" s="5"/>
      <c r="N24" s="5"/>
      <c r="O24" s="5"/>
    </row>
    <row r="25" customFormat="false" ht="15.25" hidden="false" customHeight="false" outlineLevel="0" collapsed="false">
      <c r="A25" s="31" t="n">
        <v>4030</v>
      </c>
      <c r="B25" s="32" t="s">
        <v>26</v>
      </c>
      <c r="C25" s="27" t="n">
        <v>5</v>
      </c>
      <c r="D25" s="32"/>
      <c r="E25" s="27" t="n">
        <v>5</v>
      </c>
      <c r="F25" s="16" t="s">
        <v>27</v>
      </c>
      <c r="G25" s="17"/>
      <c r="H25" s="17"/>
      <c r="I25" s="17"/>
      <c r="J25" s="45"/>
      <c r="K25" s="36"/>
      <c r="L25" s="33"/>
      <c r="M25" s="5"/>
      <c r="N25" s="5"/>
      <c r="O25" s="5"/>
    </row>
    <row r="26" customFormat="false" ht="15.25" hidden="false" customHeight="false" outlineLevel="0" collapsed="false">
      <c r="A26" s="31" t="n">
        <v>4132</v>
      </c>
      <c r="B26" s="32" t="s">
        <v>28</v>
      </c>
      <c r="C26" s="27"/>
      <c r="D26" s="32"/>
      <c r="E26" s="27"/>
      <c r="F26" s="17"/>
      <c r="G26" s="17"/>
      <c r="H26" s="17"/>
      <c r="I26" s="17"/>
      <c r="J26" s="49"/>
      <c r="K26" s="33"/>
      <c r="L26" s="33"/>
      <c r="M26" s="5"/>
      <c r="N26" s="5"/>
      <c r="O26" s="5"/>
    </row>
    <row r="27" customFormat="false" ht="15.25" hidden="false" customHeight="false" outlineLevel="0" collapsed="false">
      <c r="A27" s="31" t="n">
        <v>4171</v>
      </c>
      <c r="B27" s="32" t="s">
        <v>10</v>
      </c>
      <c r="C27" s="27" t="n">
        <v>38.4</v>
      </c>
      <c r="D27" s="32" t="n">
        <v>44.656</v>
      </c>
      <c r="E27" s="27" t="n">
        <v>35.8</v>
      </c>
      <c r="F27" s="17"/>
      <c r="G27" s="17"/>
      <c r="H27" s="17"/>
      <c r="I27" s="17"/>
      <c r="J27" s="45"/>
      <c r="K27" s="33"/>
      <c r="L27" s="33"/>
      <c r="M27" s="5"/>
      <c r="N27" s="5"/>
      <c r="O27" s="5"/>
    </row>
    <row r="28" customFormat="false" ht="15.25" hidden="false" customHeight="false" outlineLevel="0" collapsed="false">
      <c r="A28" s="31" t="n">
        <v>4172</v>
      </c>
      <c r="B28" s="32" t="s">
        <v>12</v>
      </c>
      <c r="C28" s="27" t="n">
        <v>85.9</v>
      </c>
      <c r="D28" s="48" t="n">
        <f aca="false">56.043</f>
        <v>56.043</v>
      </c>
      <c r="E28" s="27" t="n">
        <v>74.4</v>
      </c>
      <c r="F28" s="17"/>
      <c r="G28" s="17"/>
      <c r="H28" s="17"/>
      <c r="I28" s="17"/>
      <c r="J28" s="50"/>
      <c r="K28" s="33"/>
      <c r="L28" s="33"/>
      <c r="M28" s="5"/>
      <c r="N28" s="5"/>
      <c r="O28" s="5"/>
    </row>
    <row r="29" customFormat="false" ht="15.25" hidden="false" customHeight="false" outlineLevel="0" collapsed="false">
      <c r="A29" s="31" t="n">
        <v>4173</v>
      </c>
      <c r="B29" s="32" t="s">
        <v>13</v>
      </c>
      <c r="C29" s="27" t="n">
        <v>39</v>
      </c>
      <c r="D29" s="32" t="n">
        <v>45.186</v>
      </c>
      <c r="E29" s="27" t="n">
        <v>42.8</v>
      </c>
      <c r="F29" s="17"/>
      <c r="G29" s="17"/>
      <c r="H29" s="17"/>
      <c r="I29" s="17"/>
      <c r="J29" s="50"/>
      <c r="K29" s="33"/>
      <c r="L29" s="33"/>
      <c r="M29" s="5"/>
      <c r="N29" s="5"/>
      <c r="O29" s="5"/>
    </row>
    <row r="30" customFormat="false" ht="15.25" hidden="false" customHeight="false" outlineLevel="0" collapsed="false">
      <c r="A30" s="31" t="n">
        <v>4174</v>
      </c>
      <c r="B30" s="32" t="s">
        <v>14</v>
      </c>
      <c r="C30" s="27" t="n">
        <v>118.9</v>
      </c>
      <c r="D30" s="32" t="n">
        <v>75.35</v>
      </c>
      <c r="E30" s="27" t="n">
        <v>77.4</v>
      </c>
      <c r="F30" s="17"/>
      <c r="G30" s="17"/>
      <c r="H30" s="17"/>
      <c r="I30" s="17"/>
      <c r="J30" s="45"/>
      <c r="K30" s="33"/>
      <c r="L30" s="33"/>
      <c r="M30" s="5"/>
      <c r="N30" s="5"/>
      <c r="O30" s="5"/>
    </row>
    <row r="31" customFormat="false" ht="15.25" hidden="false" customHeight="false" outlineLevel="0" collapsed="false">
      <c r="A31" s="34" t="n">
        <v>4175</v>
      </c>
      <c r="B31" s="32" t="s">
        <v>29</v>
      </c>
      <c r="C31" s="27" t="n">
        <v>81.7</v>
      </c>
      <c r="D31" s="32" t="n">
        <v>76.38</v>
      </c>
      <c r="E31" s="27" t="n">
        <v>79.8</v>
      </c>
      <c r="F31" s="17"/>
      <c r="G31" s="17"/>
      <c r="H31" s="17"/>
      <c r="I31" s="17"/>
      <c r="J31" s="45"/>
      <c r="K31" s="33"/>
      <c r="L31" s="33"/>
      <c r="M31" s="5"/>
      <c r="N31" s="5"/>
      <c r="O31" s="5"/>
    </row>
    <row r="32" customFormat="false" ht="15.25" hidden="false" customHeight="false" outlineLevel="0" collapsed="false">
      <c r="A32" s="31" t="n">
        <v>4177</v>
      </c>
      <c r="B32" s="32" t="s">
        <v>16</v>
      </c>
      <c r="C32" s="27" t="n">
        <v>15.5</v>
      </c>
      <c r="D32" s="48" t="n">
        <f aca="false">3.505+1.743+0.53+0.53+0.4</f>
        <v>6.708</v>
      </c>
      <c r="E32" s="27" t="n">
        <v>16.5</v>
      </c>
      <c r="F32" s="16" t="s">
        <v>30</v>
      </c>
      <c r="G32" s="17"/>
      <c r="H32" s="17"/>
      <c r="I32" s="17"/>
      <c r="J32" s="50"/>
      <c r="K32" s="33" t="s">
        <v>31</v>
      </c>
      <c r="L32" s="33"/>
      <c r="M32" s="5"/>
      <c r="N32" s="5"/>
      <c r="O32" s="5"/>
    </row>
    <row r="33" customFormat="false" ht="15.25" hidden="false" customHeight="false" outlineLevel="0" collapsed="false">
      <c r="A33" s="31" t="n">
        <v>4178</v>
      </c>
      <c r="B33" s="32" t="s">
        <v>18</v>
      </c>
      <c r="C33" s="35" t="n">
        <v>72</v>
      </c>
      <c r="D33" s="32" t="n">
        <v>62.288</v>
      </c>
      <c r="E33" s="27" t="n">
        <v>76</v>
      </c>
      <c r="F33" s="17"/>
      <c r="G33" s="17"/>
      <c r="H33" s="17"/>
      <c r="I33" s="17"/>
      <c r="J33" s="50"/>
      <c r="K33" s="33"/>
      <c r="L33" s="33"/>
      <c r="M33" s="5"/>
      <c r="N33" s="5"/>
      <c r="O33" s="5"/>
    </row>
    <row r="34" customFormat="false" ht="15.25" hidden="false" customHeight="false" outlineLevel="0" collapsed="false">
      <c r="A34" s="34" t="n">
        <v>4180</v>
      </c>
      <c r="B34" s="32" t="s">
        <v>32</v>
      </c>
      <c r="C34" s="27" t="n">
        <v>1</v>
      </c>
      <c r="D34" s="32" t="n">
        <v>0</v>
      </c>
      <c r="E34" s="27" t="n">
        <v>1</v>
      </c>
      <c r="F34" s="17"/>
      <c r="G34" s="17"/>
      <c r="H34" s="17"/>
      <c r="I34" s="17"/>
      <c r="J34" s="50"/>
      <c r="K34" s="33"/>
      <c r="L34" s="33"/>
      <c r="M34" s="5"/>
      <c r="N34" s="5"/>
      <c r="O34" s="5"/>
    </row>
    <row r="35" customFormat="false" ht="15.25" hidden="false" customHeight="false" outlineLevel="0" collapsed="false">
      <c r="A35" s="34" t="n">
        <v>7610</v>
      </c>
      <c r="B35" s="32" t="s">
        <v>33</v>
      </c>
      <c r="C35" s="27" t="n">
        <v>30</v>
      </c>
      <c r="D35" s="32" t="n">
        <v>0</v>
      </c>
      <c r="E35" s="27" t="n">
        <v>10</v>
      </c>
      <c r="F35" s="51"/>
      <c r="G35" s="51"/>
      <c r="H35" s="51"/>
      <c r="I35" s="51"/>
      <c r="J35" s="50"/>
      <c r="K35" s="52"/>
      <c r="L35" s="33"/>
      <c r="M35" s="5"/>
      <c r="N35" s="5"/>
      <c r="O35" s="5"/>
    </row>
    <row r="36" customFormat="false" ht="15.25" hidden="false" customHeight="false" outlineLevel="0" collapsed="false">
      <c r="A36" s="31"/>
      <c r="B36" s="32"/>
      <c r="C36" s="27"/>
      <c r="D36" s="32"/>
      <c r="E36" s="27"/>
      <c r="F36" s="51"/>
      <c r="G36" s="51"/>
      <c r="H36" s="51"/>
      <c r="I36" s="51"/>
      <c r="J36" s="50"/>
      <c r="K36" s="33"/>
      <c r="L36" s="33"/>
      <c r="M36" s="5"/>
      <c r="N36" s="5"/>
      <c r="O36" s="5"/>
    </row>
    <row r="37" customFormat="false" ht="15.25" hidden="false" customHeight="false" outlineLevel="0" collapsed="false">
      <c r="A37" s="31"/>
      <c r="C37" s="27"/>
      <c r="E37" s="27"/>
      <c r="F37" s="17"/>
      <c r="G37" s="17"/>
      <c r="H37" s="17"/>
      <c r="I37" s="17"/>
      <c r="J37" s="50"/>
      <c r="K37" s="33"/>
      <c r="L37" s="33"/>
      <c r="M37" s="5"/>
      <c r="N37" s="5"/>
      <c r="O37" s="5"/>
    </row>
    <row r="38" customFormat="false" ht="15.25" hidden="false" customHeight="false" outlineLevel="0" collapsed="false">
      <c r="A38" s="38"/>
      <c r="B38" s="39"/>
      <c r="C38" s="40"/>
      <c r="D38" s="39"/>
      <c r="E38" s="40"/>
      <c r="F38" s="17"/>
      <c r="G38" s="17"/>
      <c r="H38" s="17"/>
      <c r="I38" s="17"/>
      <c r="J38" s="50"/>
      <c r="K38" s="33"/>
      <c r="L38" s="33"/>
      <c r="M38" s="5"/>
      <c r="N38" s="5"/>
      <c r="O38" s="5"/>
    </row>
    <row r="39" customFormat="false" ht="15.25" hidden="false" customHeight="false" outlineLevel="0" collapsed="false">
      <c r="A39" s="1" t="s">
        <v>34</v>
      </c>
      <c r="C39" s="53" t="n">
        <f aca="false">SUM(C23:C38)</f>
        <v>497.8</v>
      </c>
      <c r="D39" s="54" t="n">
        <f aca="false">SUM(D23:D38)</f>
        <v>369.819</v>
      </c>
      <c r="E39" s="53" t="n">
        <f aca="false">SUM(E23:E38)</f>
        <v>423.7</v>
      </c>
      <c r="F39" s="51"/>
      <c r="G39" s="51"/>
      <c r="H39" s="51"/>
      <c r="I39" s="51"/>
      <c r="J39" s="50"/>
      <c r="K39" s="33"/>
      <c r="L39" s="33"/>
      <c r="M39" s="5"/>
      <c r="N39" s="5"/>
      <c r="O39" s="5"/>
    </row>
    <row r="40" customFormat="false" ht="15.25" hidden="false" customHeight="false" outlineLevel="0" collapsed="false">
      <c r="E40" s="53"/>
      <c r="F40" s="44"/>
      <c r="G40" s="44"/>
      <c r="H40" s="44"/>
      <c r="I40" s="44"/>
      <c r="J40" s="45"/>
      <c r="K40" s="33"/>
      <c r="L40" s="33"/>
      <c r="M40" s="5"/>
      <c r="N40" s="5"/>
      <c r="O40" s="5"/>
    </row>
    <row r="41" customFormat="false" ht="15.25" hidden="false" customHeight="false" outlineLevel="0" collapsed="false">
      <c r="E41" s="53"/>
      <c r="F41" s="44"/>
      <c r="G41" s="44"/>
      <c r="H41" s="44"/>
      <c r="I41" s="44"/>
      <c r="J41" s="45"/>
      <c r="K41" s="33"/>
      <c r="L41" s="33"/>
      <c r="M41" s="5"/>
      <c r="N41" s="5"/>
      <c r="O41" s="5"/>
    </row>
    <row r="42" customFormat="false" ht="15.25" hidden="false" customHeight="false" outlineLevel="0" collapsed="false">
      <c r="C42" s="3" t="s">
        <v>5</v>
      </c>
      <c r="D42" s="10" t="s">
        <v>6</v>
      </c>
      <c r="E42" s="10" t="s">
        <v>5</v>
      </c>
      <c r="F42" s="44"/>
      <c r="G42" s="44"/>
      <c r="H42" s="44"/>
      <c r="I42" s="44"/>
      <c r="J42" s="45"/>
      <c r="K42" s="55"/>
      <c r="L42" s="55"/>
      <c r="M42" s="5"/>
      <c r="N42" s="5"/>
      <c r="O42" s="5"/>
    </row>
    <row r="43" customFormat="false" ht="15.25" hidden="false" customHeight="false" outlineLevel="0" collapsed="false">
      <c r="C43" s="3" t="n">
        <v>2017</v>
      </c>
      <c r="D43" s="15" t="n">
        <v>2016</v>
      </c>
      <c r="E43" s="15" t="n">
        <v>2016</v>
      </c>
      <c r="F43" s="44"/>
      <c r="G43" s="44"/>
      <c r="H43" s="44"/>
      <c r="I43" s="44"/>
      <c r="J43" s="45"/>
      <c r="K43" s="55"/>
      <c r="L43" s="55"/>
      <c r="M43" s="5"/>
      <c r="N43" s="5"/>
      <c r="O43" s="5"/>
    </row>
    <row r="44" customFormat="false" ht="15.25" hidden="false" customHeight="false" outlineLevel="0" collapsed="false">
      <c r="A44" s="56" t="s">
        <v>35</v>
      </c>
      <c r="B44" s="57"/>
      <c r="C44" s="58" t="n">
        <f aca="false">+C19-C39</f>
        <v>-104.7</v>
      </c>
      <c r="D44" s="59" t="n">
        <f aca="false">+D19-D39</f>
        <v>-50.609</v>
      </c>
      <c r="E44" s="58" t="n">
        <f aca="false">+E19-E39</f>
        <v>-51.7</v>
      </c>
      <c r="F44" s="47"/>
      <c r="G44" s="47"/>
      <c r="H44" s="47"/>
      <c r="I44" s="47"/>
      <c r="J44" s="45"/>
      <c r="K44" s="5"/>
      <c r="L44" s="55"/>
      <c r="M44" s="5"/>
      <c r="N44" s="5"/>
      <c r="O44" s="5"/>
    </row>
    <row r="45" customFormat="false" ht="15.25" hidden="false" customHeight="false" outlineLevel="0" collapsed="false">
      <c r="F45" s="44"/>
      <c r="G45" s="44"/>
      <c r="H45" s="44"/>
      <c r="I45" s="44"/>
      <c r="J45" s="45"/>
      <c r="K45" s="5"/>
      <c r="L45" s="24"/>
      <c r="M45" s="5"/>
      <c r="N45" s="5"/>
      <c r="O45" s="5"/>
    </row>
    <row r="46" customFormat="false" ht="15.25" hidden="false" customHeight="false" outlineLevel="0" collapsed="false">
      <c r="A46" s="60" t="s">
        <v>36</v>
      </c>
      <c r="B46" s="5"/>
      <c r="C46" s="5"/>
      <c r="D46" s="5"/>
      <c r="E46" s="61"/>
      <c r="F46" s="44"/>
      <c r="G46" s="44"/>
      <c r="H46" s="44"/>
      <c r="I46" s="44"/>
      <c r="J46" s="45"/>
      <c r="L46" s="15"/>
      <c r="M46" s="5"/>
      <c r="N46" s="5"/>
      <c r="O46" s="5"/>
    </row>
    <row r="49" customFormat="false" ht="14.05" hidden="false" customHeight="false" outlineLevel="0" collapsed="false"/>
    <row r="50" customFormat="false" ht="14.05" hidden="false" customHeight="false" outlineLevel="0" collapsed="false"/>
    <row r="51" customFormat="false" ht="14.05" hidden="false" customHeight="false" outlineLevel="0" collapsed="false"/>
    <row r="52" customFormat="false" ht="14.05" hidden="false" customHeight="false" outlineLevel="0" collapsed="false"/>
    <row r="53" customFormat="false" ht="14.05" hidden="false" customHeight="false" outlineLevel="0" collapsed="false"/>
    <row r="54" customFormat="false" ht="14.05" hidden="false" customHeight="false" outlineLevel="0" collapsed="false"/>
    <row r="55" customFormat="false" ht="14.05" hidden="false" customHeight="false" outlineLevel="0" collapsed="false"/>
    <row r="56" customFormat="false" ht="14.05" hidden="false" customHeight="false" outlineLevel="0" collapsed="false"/>
    <row r="57" customFormat="false" ht="14.05" hidden="false" customHeight="false" outlineLevel="0" collapsed="false"/>
    <row r="58" customFormat="false" ht="14.05" hidden="false" customHeight="false" outlineLevel="0" collapsed="false"/>
    <row r="59" customFormat="false" ht="14.05" hidden="false" customHeight="false" outlineLevel="0" collapsed="false"/>
    <row r="60" customFormat="false" ht="14.05" hidden="false" customHeight="false" outlineLevel="0" collapsed="false"/>
    <row r="61" customFormat="false" ht="14.05" hidden="false" customHeight="false" outlineLevel="0" collapsed="false"/>
    <row r="62" customFormat="false" ht="14.05" hidden="false" customHeight="false" outlineLevel="0" collapsed="false"/>
    <row r="63" customFormat="false" ht="14.05" hidden="false" customHeight="false" outlineLevel="0" collapsed="false"/>
    <row r="64" customFormat="false" ht="14.05" hidden="false" customHeight="false" outlineLevel="0" collapsed="false"/>
    <row r="65" customFormat="false" ht="14.05" hidden="false" customHeight="false" outlineLevel="0" collapsed="false"/>
    <row r="66" customFormat="false" ht="14.05" hidden="false" customHeight="false" outlineLevel="0" collapsed="false"/>
    <row r="67" customFormat="false" ht="14.05" hidden="false" customHeight="false" outlineLevel="0" collapsed="false"/>
    <row r="68" customFormat="false" ht="14.05" hidden="false" customHeight="false" outlineLevel="0" collapsed="false"/>
    <row r="69" customFormat="false" ht="14.05" hidden="false" customHeight="false" outlineLevel="0" collapsed="false"/>
    <row r="70" customFormat="false" ht="14.05" hidden="false" customHeight="false" outlineLevel="0" collapsed="false"/>
    <row r="71" customFormat="false" ht="14.05" hidden="false" customHeight="false" outlineLevel="0" collapsed="false"/>
    <row r="72" customFormat="false" ht="14.05" hidden="false" customHeight="false" outlineLevel="0" collapsed="false"/>
    <row r="73" customFormat="false" ht="14.05" hidden="false" customHeight="false" outlineLevel="0" collapsed="false"/>
    <row r="74" customFormat="false" ht="14.05" hidden="false" customHeight="false" outlineLevel="0" collapsed="false"/>
    <row r="75" customFormat="false" ht="14.05" hidden="false" customHeight="false" outlineLevel="0" collapsed="false"/>
    <row r="76" customFormat="false" ht="14.05" hidden="false" customHeight="false" outlineLevel="0" collapsed="false"/>
    <row r="77" customFormat="false" ht="14.05" hidden="false" customHeight="false" outlineLevel="0" collapsed="false"/>
    <row r="78" customFormat="false" ht="14.05" hidden="false" customHeight="false" outlineLevel="0" collapsed="false"/>
    <row r="79" customFormat="false" ht="14.05" hidden="false" customHeight="false" outlineLevel="0" collapsed="false"/>
    <row r="80" customFormat="false" ht="14.05" hidden="false" customHeight="false" outlineLevel="0" collapsed="false"/>
    <row r="81" customFormat="false" ht="14.05" hidden="false" customHeight="false" outlineLevel="0" collapsed="false"/>
    <row r="82" customFormat="false" ht="14.05" hidden="false" customHeight="false" outlineLevel="0" collapsed="false"/>
    <row r="83" customFormat="false" ht="14.05" hidden="false" customHeight="false" outlineLevel="0" collapsed="false"/>
    <row r="84" customFormat="false" ht="14.05" hidden="false" customHeight="false" outlineLevel="0" collapsed="false"/>
    <row r="85" customFormat="false" ht="14.05" hidden="false" customHeight="false" outlineLevel="0" collapsed="false"/>
    <row r="86" customFormat="false" ht="14.05" hidden="false" customHeight="false" outlineLevel="0" collapsed="false"/>
    <row r="87" customFormat="false" ht="14.05" hidden="false" customHeight="false" outlineLevel="0" collapsed="false"/>
    <row r="88" customFormat="false" ht="14.05" hidden="false" customHeight="false" outlineLevel="0" collapsed="false"/>
    <row r="89" customFormat="false" ht="14.05" hidden="false" customHeight="false" outlineLevel="0" collapsed="false"/>
    <row r="90" customFormat="false" ht="14.05" hidden="false" customHeight="false" outlineLevel="0" collapsed="false"/>
    <row r="91" customFormat="false" ht="14.05" hidden="false" customHeight="false" outlineLevel="0" collapsed="false"/>
    <row r="92" customFormat="false" ht="14.05" hidden="false" customHeight="false" outlineLevel="0" collapsed="false"/>
    <row r="93" customFormat="false" ht="14.05" hidden="false" customHeight="false" outlineLevel="0" collapsed="false"/>
    <row r="94" customFormat="false" ht="14.05" hidden="false" customHeight="false" outlineLevel="0" collapsed="false"/>
    <row r="95" customFormat="false" ht="14.05" hidden="false" customHeight="false" outlineLevel="0" collapsed="false"/>
    <row r="96" customFormat="false" ht="14.05" hidden="false" customHeight="false" outlineLevel="0" collapsed="false"/>
    <row r="97" customFormat="false" ht="14.05" hidden="false" customHeight="false" outlineLevel="0" collapsed="false"/>
    <row r="98" customFormat="false" ht="14.05" hidden="false" customHeight="false" outlineLevel="0" collapsed="false"/>
    <row r="99" customFormat="false" ht="14.05" hidden="false" customHeight="false" outlineLevel="0" collapsed="false"/>
    <row r="100" customFormat="false" ht="14.05" hidden="false" customHeight="false" outlineLevel="0" collapsed="false"/>
    <row r="101" customFormat="false" ht="14.05" hidden="false" customHeight="false" outlineLevel="0" collapsed="false"/>
    <row r="102" customFormat="false" ht="14.05" hidden="false" customHeight="false" outlineLevel="0" collapsed="false"/>
    <row r="103" customFormat="false" ht="14.05" hidden="false" customHeight="false" outlineLevel="0" collapsed="false"/>
    <row r="104" customFormat="false" ht="14.05" hidden="false" customHeight="false" outlineLevel="0" collapsed="false"/>
    <row r="105" customFormat="false" ht="14.05" hidden="false" customHeight="false" outlineLevel="0" collapsed="false"/>
    <row r="106" customFormat="false" ht="14.05" hidden="false" customHeight="false" outlineLevel="0" collapsed="false"/>
    <row r="107" customFormat="false" ht="14.05" hidden="false" customHeight="false" outlineLevel="0" collapsed="false"/>
    <row r="108" customFormat="false" ht="14.05" hidden="false" customHeight="false" outlineLevel="0" collapsed="false"/>
    <row r="109" customFormat="false" ht="14.05" hidden="false" customHeight="false" outlineLevel="0" collapsed="false"/>
    <row r="110" customFormat="false" ht="14.05" hidden="false" customHeight="false" outlineLevel="0" collapsed="false"/>
    <row r="111" customFormat="false" ht="14.05" hidden="false" customHeight="false" outlineLevel="0" collapsed="false"/>
    <row r="112" customFormat="false" ht="14.05" hidden="false" customHeight="false" outlineLevel="0" collapsed="false"/>
    <row r="113" customFormat="false" ht="14.05" hidden="false" customHeight="false" outlineLevel="0" collapsed="false"/>
    <row r="114" customFormat="false" ht="14.05" hidden="false" customHeight="false" outlineLevel="0" collapsed="false"/>
    <row r="115" customFormat="false" ht="14.05" hidden="false" customHeight="false" outlineLevel="0" collapsed="false"/>
    <row r="116" customFormat="false" ht="14.05" hidden="false" customHeight="false" outlineLevel="0" collapsed="false"/>
    <row r="117" customFormat="false" ht="14.05" hidden="false" customHeight="false" outlineLevel="0" collapsed="false"/>
    <row r="118" customFormat="false" ht="14.05" hidden="false" customHeight="false" outlineLevel="0" collapsed="false"/>
    <row r="119" customFormat="false" ht="14.05" hidden="false" customHeight="false" outlineLevel="0" collapsed="false"/>
    <row r="120" customFormat="false" ht="14.05" hidden="false" customHeight="false" outlineLevel="0" collapsed="false"/>
    <row r="121" customFormat="false" ht="14.05" hidden="false" customHeight="false" outlineLevel="0" collapsed="false"/>
    <row r="122" customFormat="false" ht="14.05" hidden="false" customHeight="false" outlineLevel="0" collapsed="false"/>
    <row r="123" customFormat="false" ht="14.05" hidden="false" customHeight="false" outlineLevel="0" collapsed="false"/>
    <row r="124" customFormat="false" ht="14.05" hidden="false" customHeight="false" outlineLevel="0" collapsed="false"/>
    <row r="125" customFormat="false" ht="14.05" hidden="false" customHeight="false" outlineLevel="0" collapsed="false"/>
    <row r="126" customFormat="false" ht="14.05" hidden="false" customHeight="false" outlineLevel="0" collapsed="false"/>
    <row r="127" customFormat="false" ht="14.05" hidden="false" customHeight="false" outlineLevel="0" collapsed="false"/>
    <row r="128" customFormat="false" ht="14.05" hidden="false" customHeight="false" outlineLevel="0" collapsed="false"/>
    <row r="129" customFormat="false" ht="14.05" hidden="false" customHeight="false" outlineLevel="0" collapsed="false"/>
    <row r="130" customFormat="false" ht="14.05" hidden="false" customHeight="false" outlineLevel="0" collapsed="false"/>
    <row r="131" customFormat="false" ht="14.05" hidden="false" customHeight="false" outlineLevel="0" collapsed="false"/>
    <row r="132" customFormat="false" ht="14.05" hidden="false" customHeight="false" outlineLevel="0" collapsed="false"/>
    <row r="133" customFormat="false" ht="14.05" hidden="false" customHeight="false" outlineLevel="0" collapsed="false"/>
    <row r="134" customFormat="false" ht="14.05" hidden="false" customHeight="false" outlineLevel="0" collapsed="false"/>
    <row r="135" customFormat="false" ht="14.05" hidden="false" customHeight="false" outlineLevel="0" collapsed="false"/>
    <row r="136" customFormat="false" ht="14.05" hidden="false" customHeight="false" outlineLevel="0" collapsed="false"/>
    <row r="137" customFormat="false" ht="14.05" hidden="false" customHeight="false" outlineLevel="0" collapsed="false"/>
    <row r="138" customFormat="false" ht="14.05" hidden="false" customHeight="false" outlineLevel="0" collapsed="false"/>
    <row r="139" customFormat="false" ht="14.05" hidden="false" customHeight="false" outlineLevel="0" collapsed="false"/>
    <row r="140" customFormat="false" ht="14.05" hidden="false" customHeight="false" outlineLevel="0" collapsed="false"/>
    <row r="141" customFormat="false" ht="14.05" hidden="false" customHeight="false" outlineLevel="0" collapsed="false"/>
    <row r="142" customFormat="false" ht="14.05" hidden="false" customHeight="false" outlineLevel="0" collapsed="false"/>
    <row r="143" customFormat="false" ht="14.05" hidden="false" customHeight="false" outlineLevel="0" collapsed="false"/>
    <row r="144" customFormat="false" ht="14.05" hidden="false" customHeight="false" outlineLevel="0" collapsed="false"/>
    <row r="145" customFormat="false" ht="14.05" hidden="false" customHeight="false" outlineLevel="0" collapsed="false"/>
    <row r="146" customFormat="false" ht="14.05" hidden="false" customHeight="false" outlineLevel="0" collapsed="false"/>
    <row r="147" customFormat="false" ht="14.05" hidden="false" customHeight="false" outlineLevel="0" collapsed="false"/>
    <row r="148" customFormat="false" ht="14.05" hidden="false" customHeight="false" outlineLevel="0" collapsed="false"/>
    <row r="149" customFormat="false" ht="14.05" hidden="false" customHeight="false" outlineLevel="0" collapsed="false"/>
    <row r="150" customFormat="false" ht="14.05" hidden="false" customHeight="false" outlineLevel="0" collapsed="false"/>
    <row r="151" customFormat="false" ht="14.05" hidden="false" customHeight="false" outlineLevel="0" collapsed="false"/>
    <row r="152" customFormat="false" ht="14.05" hidden="false" customHeight="false" outlineLevel="0" collapsed="false"/>
    <row r="153" customFormat="false" ht="14.05" hidden="false" customHeight="false" outlineLevel="0" collapsed="false"/>
    <row r="154" customFormat="false" ht="14.05" hidden="false" customHeight="false" outlineLevel="0" collapsed="false"/>
    <row r="155" customFormat="false" ht="14.05" hidden="false" customHeight="false" outlineLevel="0" collapsed="false"/>
    <row r="156" customFormat="false" ht="14.05" hidden="false" customHeight="false" outlineLevel="0" collapsed="false"/>
    <row r="157" customFormat="false" ht="14.05" hidden="false" customHeight="false" outlineLevel="0" collapsed="false"/>
    <row r="158" customFormat="false" ht="14.05" hidden="false" customHeight="false" outlineLevel="0" collapsed="false"/>
    <row r="159" customFormat="false" ht="14.05" hidden="false" customHeight="false" outlineLevel="0" collapsed="false"/>
    <row r="160" customFormat="false" ht="14.05" hidden="false" customHeight="false" outlineLevel="0" collapsed="false"/>
    <row r="161" customFormat="false" ht="14.05" hidden="false" customHeight="false" outlineLevel="0" collapsed="false"/>
    <row r="162" customFormat="false" ht="14.05" hidden="false" customHeight="false" outlineLevel="0" collapsed="false"/>
    <row r="163" customFormat="false" ht="14.05" hidden="false" customHeight="false" outlineLevel="0" collapsed="false"/>
    <row r="164" customFormat="false" ht="14.05" hidden="false" customHeight="false" outlineLevel="0" collapsed="false"/>
    <row r="165" customFormat="false" ht="14.05" hidden="false" customHeight="false" outlineLevel="0" collapsed="false"/>
    <row r="166" customFormat="false" ht="14.05" hidden="false" customHeight="false" outlineLevel="0" collapsed="false"/>
    <row r="167" customFormat="false" ht="14.05" hidden="false" customHeight="false" outlineLevel="0" collapsed="false"/>
    <row r="168" customFormat="false" ht="14.05" hidden="false" customHeight="false" outlineLevel="0" collapsed="false"/>
    <row r="169" customFormat="false" ht="14.05" hidden="false" customHeight="false" outlineLevel="0" collapsed="false"/>
    <row r="170" customFormat="false" ht="14.05" hidden="false" customHeight="false" outlineLevel="0" collapsed="false"/>
    <row r="171" customFormat="false" ht="14.05" hidden="false" customHeight="false" outlineLevel="0" collapsed="false"/>
    <row r="172" customFormat="false" ht="14.05" hidden="false" customHeight="false" outlineLevel="0" collapsed="false"/>
    <row r="173" customFormat="false" ht="14.05" hidden="false" customHeight="false" outlineLevel="0" collapsed="false"/>
    <row r="174" customFormat="false" ht="14.0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0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2:M129"/>
  <sheetViews>
    <sheetView windowProtection="false" showFormulas="false" showGridLines="true" showRowColHeaders="true" showZeros="true" rightToLeft="false" tabSelected="false" showOutlineSymbols="true" defaultGridColor="true" view="normal" topLeftCell="C61" colorId="64" zoomScale="100" zoomScaleNormal="100" zoomScalePageLayoutView="100" workbookViewId="0">
      <selection pane="topLeft" activeCell="D111" activeCellId="0" sqref="D111"/>
    </sheetView>
  </sheetViews>
  <sheetFormatPr defaultRowHeight="14.05"/>
  <cols>
    <col collapsed="false" hidden="false" max="2" min="1" style="2" width="8.70918367346939"/>
    <col collapsed="false" hidden="false" max="3" min="3" style="2" width="10.0510204081633"/>
    <col collapsed="false" hidden="false" max="4" min="4" style="2" width="97.2040816326531"/>
    <col collapsed="false" hidden="false" max="5" min="5" style="2" width="14.7857142857143"/>
    <col collapsed="false" hidden="false" max="6" min="6" style="2" width="10.9183673469388"/>
    <col collapsed="false" hidden="false" max="7" min="7" style="2" width="8.17857142857143"/>
    <col collapsed="false" hidden="false" max="8" min="8" style="2" width="8.70918367346939"/>
    <col collapsed="false" hidden="false" max="9" min="9" style="2" width="11.7704081632653"/>
    <col collapsed="false" hidden="false" max="1025" min="10" style="2" width="8.70918367346939"/>
  </cols>
  <sheetData>
    <row r="2" customFormat="false" ht="22.45" hidden="false" customHeight="false" outlineLevel="0" collapsed="false">
      <c r="D2" s="62" t="s">
        <v>37</v>
      </c>
      <c r="E2" s="2" t="s">
        <v>38</v>
      </c>
      <c r="F2" s="63"/>
    </row>
    <row r="3" customFormat="false" ht="14.05" hidden="false" customHeight="false" outlineLevel="0" collapsed="false">
      <c r="D3" s="64" t="s">
        <v>39</v>
      </c>
      <c r="E3" s="63"/>
      <c r="F3" s="63"/>
      <c r="I3" s="65" t="s">
        <v>40</v>
      </c>
      <c r="K3" s="66" t="s">
        <v>41</v>
      </c>
      <c r="L3" s="67"/>
      <c r="M3" s="2" t="s">
        <v>42</v>
      </c>
    </row>
    <row r="4" customFormat="false" ht="14.05" hidden="false" customHeight="false" outlineLevel="0" collapsed="false">
      <c r="D4" s="64" t="s">
        <v>43</v>
      </c>
      <c r="E4" s="63"/>
      <c r="F4" s="63"/>
      <c r="I4" s="65"/>
      <c r="K4" s="67"/>
      <c r="L4" s="67"/>
    </row>
    <row r="5" customFormat="false" ht="14.05" hidden="false" customHeight="false" outlineLevel="0" collapsed="false">
      <c r="E5" s="63"/>
      <c r="F5" s="63"/>
      <c r="I5" s="65"/>
      <c r="K5" s="67"/>
      <c r="L5" s="67"/>
    </row>
    <row r="6" customFormat="false" ht="14.05" hidden="false" customHeight="false" outlineLevel="0" collapsed="false">
      <c r="E6" s="63"/>
      <c r="F6" s="63"/>
      <c r="G6" s="5"/>
      <c r="I6" s="65"/>
      <c r="K6" s="67"/>
      <c r="L6" s="67"/>
    </row>
    <row r="7" customFormat="false" ht="19.4" hidden="false" customHeight="false" outlineLevel="0" collapsed="false">
      <c r="D7" s="68" t="s">
        <v>44</v>
      </c>
      <c r="E7" s="63"/>
      <c r="F7" s="63"/>
      <c r="I7" s="65"/>
      <c r="K7" s="67"/>
      <c r="L7" s="67"/>
    </row>
    <row r="8" customFormat="false" ht="14.05" hidden="false" customHeight="false" outlineLevel="0" collapsed="false">
      <c r="E8" s="63"/>
      <c r="F8" s="63"/>
      <c r="I8" s="65"/>
      <c r="K8" s="67"/>
      <c r="L8" s="67"/>
    </row>
    <row r="9" customFormat="false" ht="17.65" hidden="false" customHeight="false" outlineLevel="0" collapsed="false">
      <c r="C9" s="69" t="s">
        <v>45</v>
      </c>
      <c r="D9" s="70" t="s">
        <v>46</v>
      </c>
      <c r="E9" s="71" t="s">
        <v>47</v>
      </c>
      <c r="F9" s="71" t="s">
        <v>48</v>
      </c>
      <c r="G9" s="72" t="s">
        <v>4</v>
      </c>
      <c r="I9" s="73" t="n">
        <f aca="false">G18</f>
        <v>-6017.6</v>
      </c>
      <c r="J9" s="2" t="n">
        <v>1500</v>
      </c>
      <c r="K9" s="66" t="s">
        <v>49</v>
      </c>
      <c r="L9" s="74" t="n">
        <v>36</v>
      </c>
    </row>
    <row r="10" customFormat="false" ht="14.05" hidden="false" customHeight="false" outlineLevel="0" collapsed="false">
      <c r="C10" s="75" t="n">
        <v>301</v>
      </c>
      <c r="D10" s="26" t="s">
        <v>50</v>
      </c>
      <c r="E10" s="76"/>
      <c r="F10" s="77" t="n">
        <v>-10000</v>
      </c>
      <c r="G10" s="78" t="n">
        <f aca="false">SUM(E10:F10)</f>
        <v>-10000</v>
      </c>
      <c r="I10" s="65"/>
      <c r="K10" s="67"/>
      <c r="L10" s="67"/>
    </row>
    <row r="11" customFormat="false" ht="14.05" hidden="false" customHeight="false" outlineLevel="0" collapsed="false">
      <c r="C11" s="75" t="n">
        <v>302</v>
      </c>
      <c r="D11" s="26" t="s">
        <v>51</v>
      </c>
      <c r="E11" s="79"/>
      <c r="F11" s="80" t="n">
        <v>-3000</v>
      </c>
      <c r="G11" s="78" t="n">
        <f aca="false">SUM(E11:F11)</f>
        <v>-3000</v>
      </c>
      <c r="I11" s="65"/>
      <c r="K11" s="67"/>
      <c r="L11" s="67"/>
    </row>
    <row r="12" customFormat="false" ht="14.05" hidden="false" customHeight="false" outlineLevel="0" collapsed="false">
      <c r="C12" s="75" t="n">
        <v>303</v>
      </c>
      <c r="D12" s="26" t="s">
        <v>52</v>
      </c>
      <c r="E12" s="79"/>
      <c r="F12" s="79" t="n">
        <f aca="false">-L9*450*1.04</f>
        <v>-16848</v>
      </c>
      <c r="G12" s="78" t="n">
        <f aca="false">SUM(E12:F12)</f>
        <v>-16848</v>
      </c>
      <c r="I12" s="65"/>
      <c r="K12" s="67"/>
      <c r="L12" s="67"/>
    </row>
    <row r="13" customFormat="false" ht="14.05" hidden="false" customHeight="false" outlineLevel="0" collapsed="false">
      <c r="C13" s="81" t="n">
        <v>304</v>
      </c>
      <c r="D13" s="26" t="s">
        <v>53</v>
      </c>
      <c r="E13" s="79"/>
      <c r="F13" s="79" t="n">
        <f aca="false">-6*450*1.04</f>
        <v>-2808</v>
      </c>
      <c r="G13" s="82" t="n">
        <f aca="false">SUM(E13:F13)</f>
        <v>-2808</v>
      </c>
      <c r="I13" s="65"/>
      <c r="K13" s="67"/>
      <c r="L13" s="67"/>
    </row>
    <row r="14" customFormat="false" ht="14.05" hidden="false" customHeight="false" outlineLevel="0" collapsed="false">
      <c r="C14" s="81" t="n">
        <v>305</v>
      </c>
      <c r="D14" s="32" t="s">
        <v>54</v>
      </c>
      <c r="E14" s="83"/>
      <c r="F14" s="83" t="n">
        <f aca="false">-(L9*70*2+500)*1.04</f>
        <v>-5761.6</v>
      </c>
      <c r="G14" s="84" t="n">
        <f aca="false">SUM(E14:F14)</f>
        <v>-5761.6</v>
      </c>
      <c r="I14" s="65"/>
      <c r="K14" s="67"/>
      <c r="L14" s="67"/>
    </row>
    <row r="15" customFormat="false" ht="14.05" hidden="false" customHeight="false" outlineLevel="0" collapsed="false">
      <c r="C15" s="81" t="n">
        <v>306</v>
      </c>
      <c r="D15" s="32" t="s">
        <v>55</v>
      </c>
      <c r="E15" s="83" t="n">
        <f aca="false">L9*M17</f>
        <v>32400</v>
      </c>
      <c r="F15" s="83"/>
      <c r="G15" s="85" t="n">
        <f aca="false">SUM(E15:F15)</f>
        <v>32400</v>
      </c>
      <c r="I15" s="65"/>
      <c r="K15" s="67"/>
      <c r="L15" s="67"/>
    </row>
    <row r="16" customFormat="false" ht="14.05" hidden="false" customHeight="false" outlineLevel="0" collapsed="false">
      <c r="C16" s="86" t="n">
        <v>307</v>
      </c>
      <c r="D16" s="32" t="s">
        <v>56</v>
      </c>
      <c r="E16" s="83" t="n">
        <v>0</v>
      </c>
      <c r="F16" s="83"/>
      <c r="G16" s="85" t="n">
        <f aca="false">SUM(E16:F16)</f>
        <v>0</v>
      </c>
      <c r="I16" s="65"/>
      <c r="K16" s="67"/>
      <c r="L16" s="67"/>
    </row>
    <row r="17" customFormat="false" ht="14.05" hidden="false" customHeight="false" outlineLevel="0" collapsed="false">
      <c r="C17" s="86" t="n">
        <v>308</v>
      </c>
      <c r="D17" s="39" t="s">
        <v>57</v>
      </c>
      <c r="E17" s="87"/>
      <c r="F17" s="87" t="n">
        <v>0</v>
      </c>
      <c r="G17" s="88" t="n">
        <f aca="false">SUM(E17:F17)</f>
        <v>0</v>
      </c>
      <c r="I17" s="65"/>
      <c r="K17" s="66" t="s">
        <v>58</v>
      </c>
      <c r="L17" s="89" t="n">
        <f aca="false">(ABS(SUM(F10:F17))-I9)/L9</f>
        <v>1234.31111111111</v>
      </c>
      <c r="M17" s="30" t="n">
        <v>900</v>
      </c>
    </row>
    <row r="18" customFormat="false" ht="14.05" hidden="false" customHeight="false" outlineLevel="0" collapsed="false">
      <c r="D18" s="90"/>
      <c r="E18" s="91" t="n">
        <f aca="false">SUM(E10:E17)</f>
        <v>32400</v>
      </c>
      <c r="F18" s="91" t="n">
        <f aca="false">SUM(F10:F17)</f>
        <v>-38417.6</v>
      </c>
      <c r="G18" s="92" t="n">
        <f aca="false">SUM(G10:G17)</f>
        <v>-6017.6</v>
      </c>
      <c r="I18" s="65"/>
      <c r="K18" s="66" t="s">
        <v>59</v>
      </c>
      <c r="L18" s="93" t="n">
        <f aca="false">-(F14+F17)/L9</f>
        <v>160.044444444444</v>
      </c>
    </row>
    <row r="19" customFormat="false" ht="14.05" hidden="false" customHeight="false" outlineLevel="0" collapsed="false">
      <c r="E19" s="63"/>
      <c r="F19" s="63"/>
      <c r="I19" s="65"/>
      <c r="K19" s="67"/>
      <c r="L19" s="67"/>
    </row>
    <row r="20" customFormat="false" ht="14.05" hidden="false" customHeight="false" outlineLevel="0" collapsed="false">
      <c r="E20" s="63"/>
      <c r="F20" s="63"/>
      <c r="I20" s="65"/>
      <c r="K20" s="67"/>
      <c r="L20" s="67"/>
    </row>
    <row r="21" customFormat="false" ht="19.4" hidden="false" customHeight="false" outlineLevel="0" collapsed="false">
      <c r="D21" s="68" t="s">
        <v>60</v>
      </c>
      <c r="E21" s="63"/>
      <c r="F21" s="63"/>
      <c r="I21" s="65"/>
      <c r="K21" s="67"/>
      <c r="L21" s="67"/>
    </row>
    <row r="22" customFormat="false" ht="14.05" hidden="false" customHeight="false" outlineLevel="0" collapsed="false">
      <c r="E22" s="63"/>
      <c r="F22" s="63"/>
      <c r="I22" s="65"/>
      <c r="K22" s="67"/>
      <c r="L22" s="67"/>
    </row>
    <row r="23" customFormat="false" ht="17.65" hidden="false" customHeight="false" outlineLevel="0" collapsed="false">
      <c r="C23" s="69" t="s">
        <v>45</v>
      </c>
      <c r="D23" s="70" t="s">
        <v>46</v>
      </c>
      <c r="E23" s="71" t="s">
        <v>47</v>
      </c>
      <c r="F23" s="71" t="s">
        <v>48</v>
      </c>
      <c r="G23" s="72" t="s">
        <v>4</v>
      </c>
      <c r="I23" s="65" t="n">
        <f aca="false">G32</f>
        <v>-7900</v>
      </c>
      <c r="J23" s="2" t="n">
        <v>18500</v>
      </c>
      <c r="K23" s="66" t="s">
        <v>49</v>
      </c>
      <c r="L23" s="74" t="n">
        <v>60</v>
      </c>
    </row>
    <row r="24" customFormat="false" ht="14.05" hidden="false" customHeight="false" outlineLevel="0" collapsed="false">
      <c r="C24" s="75" t="n">
        <v>401</v>
      </c>
      <c r="D24" s="26" t="s">
        <v>61</v>
      </c>
      <c r="E24" s="79"/>
      <c r="F24" s="94" t="n">
        <v>-25000</v>
      </c>
      <c r="G24" s="95" t="n">
        <f aca="false">SUM(E24:F24)</f>
        <v>-25000</v>
      </c>
      <c r="I24" s="65"/>
      <c r="K24" s="67"/>
      <c r="L24" s="67"/>
    </row>
    <row r="25" customFormat="false" ht="14.05" hidden="false" customHeight="false" outlineLevel="0" collapsed="false">
      <c r="C25" s="75" t="n">
        <v>402</v>
      </c>
      <c r="D25" s="26" t="s">
        <v>62</v>
      </c>
      <c r="E25" s="79"/>
      <c r="F25" s="79" t="n">
        <v>-3000</v>
      </c>
      <c r="G25" s="96" t="n">
        <f aca="false">SUM(E25:F25)</f>
        <v>-3000</v>
      </c>
      <c r="I25" s="65"/>
      <c r="K25" s="67"/>
      <c r="L25" s="67"/>
    </row>
    <row r="26" customFormat="false" ht="14.05" hidden="false" customHeight="false" outlineLevel="0" collapsed="false">
      <c r="C26" s="81" t="n">
        <v>403</v>
      </c>
      <c r="D26" s="32" t="s">
        <v>63</v>
      </c>
      <c r="E26" s="83"/>
      <c r="F26" s="97" t="n">
        <f aca="false">-700*60</f>
        <v>-42000</v>
      </c>
      <c r="G26" s="98" t="n">
        <f aca="false">SUM(E26:F26)</f>
        <v>-42000</v>
      </c>
      <c r="I26" s="65"/>
      <c r="K26" s="67"/>
      <c r="L26" s="67"/>
    </row>
    <row r="27" customFormat="false" ht="14.05" hidden="false" customHeight="false" outlineLevel="0" collapsed="false">
      <c r="C27" s="81" t="n">
        <v>404</v>
      </c>
      <c r="D27" s="32" t="s">
        <v>64</v>
      </c>
      <c r="E27" s="83"/>
      <c r="F27" s="83" t="n">
        <f aca="false">-700*6</f>
        <v>-4200</v>
      </c>
      <c r="G27" s="99" t="n">
        <f aca="false">SUM(E27:F27)</f>
        <v>-4200</v>
      </c>
      <c r="I27" s="65"/>
      <c r="K27" s="67"/>
      <c r="L27" s="67"/>
    </row>
    <row r="28" customFormat="false" ht="14.05" hidden="false" customHeight="false" outlineLevel="0" collapsed="false">
      <c r="C28" s="81" t="n">
        <v>405</v>
      </c>
      <c r="D28" s="32" t="s">
        <v>65</v>
      </c>
      <c r="E28" s="83"/>
      <c r="F28" s="83" t="n">
        <f aca="false">-L23*65*3</f>
        <v>-11700</v>
      </c>
      <c r="G28" s="98" t="n">
        <f aca="false">SUM(E28:F28)</f>
        <v>-11700</v>
      </c>
      <c r="I28" s="65"/>
      <c r="K28" s="67"/>
      <c r="L28" s="67"/>
    </row>
    <row r="29" customFormat="false" ht="14.05" hidden="false" customHeight="false" outlineLevel="0" collapsed="false">
      <c r="C29" s="81" t="n">
        <v>406</v>
      </c>
      <c r="D29" s="32" t="s">
        <v>66</v>
      </c>
      <c r="E29" s="83" t="n">
        <f aca="false">L23*M31</f>
        <v>78000</v>
      </c>
      <c r="F29" s="83"/>
      <c r="G29" s="98" t="n">
        <f aca="false">SUM(E29:F29)</f>
        <v>78000</v>
      </c>
      <c r="I29" s="65"/>
      <c r="K29" s="67"/>
      <c r="L29" s="67"/>
    </row>
    <row r="30" customFormat="false" ht="14.05" hidden="false" customHeight="false" outlineLevel="0" collapsed="false">
      <c r="C30" s="81" t="n">
        <v>407</v>
      </c>
      <c r="D30" s="32" t="s">
        <v>56</v>
      </c>
      <c r="E30" s="83" t="n">
        <v>0</v>
      </c>
      <c r="F30" s="83"/>
      <c r="G30" s="98" t="n">
        <f aca="false">SUM(E30:F30)</f>
        <v>0</v>
      </c>
      <c r="I30" s="65"/>
      <c r="K30" s="67"/>
      <c r="L30" s="67"/>
    </row>
    <row r="31" customFormat="false" ht="14.05" hidden="false" customHeight="false" outlineLevel="0" collapsed="false">
      <c r="C31" s="86"/>
      <c r="D31" s="100"/>
      <c r="E31" s="87"/>
      <c r="F31" s="87"/>
      <c r="G31" s="101"/>
      <c r="I31" s="65"/>
      <c r="K31" s="66" t="s">
        <v>58</v>
      </c>
      <c r="L31" s="89" t="n">
        <f aca="false">(ABS(SUM(F24:F31))-I23)/L23</f>
        <v>1563.33333333333</v>
      </c>
      <c r="M31" s="2" t="n">
        <v>1300</v>
      </c>
    </row>
    <row r="32" customFormat="false" ht="14.05" hidden="false" customHeight="false" outlineLevel="0" collapsed="false">
      <c r="D32" s="90"/>
      <c r="E32" s="91" t="n">
        <f aca="false">SUM(E24:E31)</f>
        <v>78000</v>
      </c>
      <c r="F32" s="91" t="n">
        <f aca="false">SUM(F24:F31)</f>
        <v>-85900</v>
      </c>
      <c r="G32" s="102" t="n">
        <f aca="false">SUM(G24:G31)</f>
        <v>-7900</v>
      </c>
      <c r="I32" s="65"/>
      <c r="K32" s="66" t="s">
        <v>59</v>
      </c>
      <c r="L32" s="67" t="n">
        <v>195</v>
      </c>
    </row>
    <row r="33" customFormat="false" ht="14.05" hidden="false" customHeight="false" outlineLevel="0" collapsed="false">
      <c r="E33" s="63"/>
      <c r="F33" s="63"/>
      <c r="G33" s="5"/>
      <c r="I33" s="65"/>
      <c r="K33" s="67"/>
      <c r="L33" s="67"/>
    </row>
    <row r="34" customFormat="false" ht="14.05" hidden="false" customHeight="false" outlineLevel="0" collapsed="false">
      <c r="E34" s="63"/>
      <c r="F34" s="63"/>
      <c r="I34" s="65"/>
      <c r="K34" s="67"/>
      <c r="L34" s="67"/>
    </row>
    <row r="35" customFormat="false" ht="19.4" hidden="false" customHeight="false" outlineLevel="0" collapsed="false">
      <c r="D35" s="68" t="s">
        <v>67</v>
      </c>
      <c r="E35" s="63"/>
      <c r="F35" s="63"/>
      <c r="I35" s="65"/>
      <c r="K35" s="67"/>
      <c r="L35" s="67"/>
    </row>
    <row r="36" customFormat="false" ht="14.05" hidden="false" customHeight="false" outlineLevel="0" collapsed="false">
      <c r="E36" s="63"/>
      <c r="F36" s="63"/>
      <c r="I36" s="65"/>
      <c r="K36" s="67"/>
      <c r="L36" s="67"/>
    </row>
    <row r="37" customFormat="false" ht="17.65" hidden="false" customHeight="false" outlineLevel="0" collapsed="false">
      <c r="C37" s="69" t="s">
        <v>45</v>
      </c>
      <c r="D37" s="70" t="s">
        <v>46</v>
      </c>
      <c r="E37" s="71" t="s">
        <v>47</v>
      </c>
      <c r="F37" s="71" t="s">
        <v>48</v>
      </c>
      <c r="G37" s="72" t="s">
        <v>4</v>
      </c>
      <c r="I37" s="65" t="n">
        <f aca="false">G49</f>
        <v>-5035</v>
      </c>
      <c r="J37" s="2" t="n">
        <v>13500</v>
      </c>
      <c r="K37" s="66" t="s">
        <v>49</v>
      </c>
      <c r="L37" s="74" t="n">
        <v>40</v>
      </c>
    </row>
    <row r="38" customFormat="false" ht="14.05" hidden="false" customHeight="false" outlineLevel="0" collapsed="false">
      <c r="C38" s="75" t="n">
        <v>501</v>
      </c>
      <c r="D38" s="26" t="s">
        <v>68</v>
      </c>
      <c r="E38" s="103"/>
      <c r="F38" s="104" t="n">
        <v>-12000</v>
      </c>
      <c r="G38" s="95" t="n">
        <f aca="false">SUM(E38:F38)</f>
        <v>-12000</v>
      </c>
      <c r="I38" s="65"/>
      <c r="K38" s="67"/>
      <c r="L38" s="67"/>
    </row>
    <row r="39" customFormat="false" ht="14.05" hidden="false" customHeight="false" outlineLevel="0" collapsed="false">
      <c r="C39" s="75" t="n">
        <v>502</v>
      </c>
      <c r="D39" s="26" t="s">
        <v>62</v>
      </c>
      <c r="E39" s="103"/>
      <c r="F39" s="103" t="n">
        <v>-3000</v>
      </c>
      <c r="G39" s="95" t="n">
        <f aca="false">SUM(E39:F39)</f>
        <v>-3000</v>
      </c>
      <c r="I39" s="65"/>
      <c r="K39" s="67"/>
      <c r="L39" s="67"/>
    </row>
    <row r="40" customFormat="false" ht="14.05" hidden="false" customHeight="false" outlineLevel="0" collapsed="false">
      <c r="C40" s="75" t="n">
        <v>503</v>
      </c>
      <c r="D40" s="26" t="s">
        <v>69</v>
      </c>
      <c r="E40" s="103"/>
      <c r="F40" s="103" t="n">
        <f aca="false">-5000</f>
        <v>-5000</v>
      </c>
      <c r="G40" s="95" t="n">
        <f aca="false">SUM(E40:F40)</f>
        <v>-5000</v>
      </c>
      <c r="I40" s="65"/>
      <c r="K40" s="67"/>
      <c r="L40" s="67"/>
    </row>
    <row r="41" customFormat="false" ht="14.05" hidden="false" customHeight="false" outlineLevel="0" collapsed="false">
      <c r="C41" s="81" t="n">
        <v>504</v>
      </c>
      <c r="D41" s="105" t="s">
        <v>70</v>
      </c>
      <c r="E41" s="106"/>
      <c r="F41" s="106" t="n">
        <v>-10000</v>
      </c>
      <c r="G41" s="98" t="n">
        <f aca="false">SUM(E41:F41)</f>
        <v>-10000</v>
      </c>
      <c r="I41" s="65"/>
      <c r="K41" s="67"/>
      <c r="L41" s="67"/>
    </row>
    <row r="42" customFormat="false" ht="14.05" hidden="false" customHeight="false" outlineLevel="0" collapsed="false">
      <c r="C42" s="81" t="n">
        <v>506</v>
      </c>
      <c r="D42" s="105" t="s">
        <v>71</v>
      </c>
      <c r="E42" s="106"/>
      <c r="F42" s="106" t="n">
        <f aca="false">-20*4*2</f>
        <v>-160</v>
      </c>
      <c r="G42" s="98" t="n">
        <f aca="false">SUM(E42:F42)</f>
        <v>-160</v>
      </c>
      <c r="I42" s="65"/>
      <c r="K42" s="67"/>
      <c r="L42" s="67"/>
    </row>
    <row r="43" customFormat="false" ht="14.05" hidden="false" customHeight="false" outlineLevel="0" collapsed="false">
      <c r="C43" s="81" t="n">
        <v>507</v>
      </c>
      <c r="D43" s="105" t="s">
        <v>72</v>
      </c>
      <c r="E43" s="106"/>
      <c r="F43" s="106" t="n">
        <f aca="false">-250*4</f>
        <v>-1000</v>
      </c>
      <c r="G43" s="98" t="n">
        <f aca="false">SUM(E43:F43)</f>
        <v>-1000</v>
      </c>
      <c r="I43" s="65"/>
      <c r="K43" s="67"/>
      <c r="L43" s="67"/>
    </row>
    <row r="44" customFormat="false" ht="14.05" hidden="false" customHeight="false" outlineLevel="0" collapsed="false">
      <c r="C44" s="81" t="n">
        <v>508</v>
      </c>
      <c r="D44" s="105" t="s">
        <v>73</v>
      </c>
      <c r="E44" s="106"/>
      <c r="F44" s="106" t="n">
        <f aca="false">-175*45</f>
        <v>-7875</v>
      </c>
      <c r="G44" s="98" t="n">
        <f aca="false">SUM(E44:F44)</f>
        <v>-7875</v>
      </c>
      <c r="I44" s="65"/>
      <c r="K44" s="67"/>
      <c r="L44" s="67"/>
    </row>
    <row r="45" customFormat="false" ht="14.05" hidden="false" customHeight="false" outlineLevel="0" collapsed="false">
      <c r="C45" s="81" t="n">
        <v>509</v>
      </c>
      <c r="D45" s="105" t="s">
        <v>74</v>
      </c>
      <c r="E45" s="106" t="n">
        <f aca="false">L37*M48</f>
        <v>34000</v>
      </c>
      <c r="F45" s="106"/>
      <c r="G45" s="98" t="n">
        <f aca="false">SUM(E45:F45)</f>
        <v>34000</v>
      </c>
      <c r="I45" s="65"/>
      <c r="K45" s="67"/>
      <c r="L45" s="67"/>
    </row>
    <row r="46" customFormat="false" ht="14.05" hidden="false" customHeight="false" outlineLevel="0" collapsed="false">
      <c r="C46" s="81" t="n">
        <v>510</v>
      </c>
      <c r="D46" s="107" t="s">
        <v>75</v>
      </c>
      <c r="E46" s="106" t="n">
        <v>0</v>
      </c>
      <c r="F46" s="32"/>
      <c r="G46" s="108" t="n">
        <v>0</v>
      </c>
      <c r="I46" s="65"/>
      <c r="K46" s="67"/>
      <c r="L46" s="67"/>
    </row>
    <row r="47" customFormat="false" ht="14.05" hidden="false" customHeight="false" outlineLevel="0" collapsed="false">
      <c r="C47" s="109" t="n">
        <v>511</v>
      </c>
      <c r="D47" s="110" t="s">
        <v>76</v>
      </c>
      <c r="E47" s="111" t="n">
        <v>0</v>
      </c>
      <c r="F47" s="112"/>
      <c r="G47" s="113" t="n">
        <v>0</v>
      </c>
      <c r="I47" s="65"/>
      <c r="K47" s="67"/>
      <c r="L47" s="67"/>
    </row>
    <row r="48" customFormat="false" ht="14.05" hidden="false" customHeight="false" outlineLevel="0" collapsed="false">
      <c r="C48" s="86"/>
      <c r="D48" s="100"/>
      <c r="E48" s="114"/>
      <c r="F48" s="114"/>
      <c r="G48" s="101" t="n">
        <f aca="false">SUM(E48:F48)</f>
        <v>0</v>
      </c>
      <c r="I48" s="65"/>
      <c r="K48" s="66" t="s">
        <v>58</v>
      </c>
      <c r="L48" s="89" t="n">
        <f aca="false">(ABS(SUM(F38:F48))-I37)/L37</f>
        <v>1101.75</v>
      </c>
      <c r="M48" s="2" t="n">
        <v>850</v>
      </c>
    </row>
    <row r="49" customFormat="false" ht="14.05" hidden="false" customHeight="false" outlineLevel="0" collapsed="false">
      <c r="E49" s="63" t="n">
        <f aca="false">SUM(E38:E48)</f>
        <v>34000</v>
      </c>
      <c r="F49" s="63" t="n">
        <f aca="false">SUM(F38:F48)</f>
        <v>-39035</v>
      </c>
      <c r="G49" s="102" t="n">
        <f aca="false">SUM(G38:G48)</f>
        <v>-5035</v>
      </c>
      <c r="I49" s="65"/>
      <c r="K49" s="66" t="s">
        <v>77</v>
      </c>
      <c r="L49" s="67"/>
    </row>
    <row r="50" customFormat="false" ht="14.05" hidden="false" customHeight="false" outlineLevel="0" collapsed="false">
      <c r="E50" s="63"/>
      <c r="F50" s="63"/>
      <c r="G50" s="5"/>
      <c r="I50" s="65"/>
      <c r="K50" s="67"/>
      <c r="L50" s="67"/>
    </row>
    <row r="51" customFormat="false" ht="14.05" hidden="false" customHeight="false" outlineLevel="0" collapsed="false">
      <c r="E51" s="63"/>
      <c r="F51" s="63"/>
      <c r="I51" s="65"/>
      <c r="K51" s="67"/>
      <c r="L51" s="67"/>
    </row>
    <row r="52" customFormat="false" ht="19.4" hidden="false" customHeight="false" outlineLevel="0" collapsed="false">
      <c r="D52" s="68" t="s">
        <v>78</v>
      </c>
      <c r="E52" s="63"/>
      <c r="F52" s="63"/>
      <c r="I52" s="65"/>
      <c r="K52" s="67"/>
      <c r="L52" s="67"/>
    </row>
    <row r="53" customFormat="false" ht="14.05" hidden="false" customHeight="false" outlineLevel="0" collapsed="false">
      <c r="E53" s="63"/>
      <c r="F53" s="63"/>
      <c r="I53" s="65"/>
      <c r="K53" s="67"/>
      <c r="L53" s="67"/>
    </row>
    <row r="54" customFormat="false" ht="17.65" hidden="false" customHeight="false" outlineLevel="0" collapsed="false">
      <c r="C54" s="69" t="s">
        <v>45</v>
      </c>
      <c r="D54" s="70" t="s">
        <v>46</v>
      </c>
      <c r="E54" s="71" t="s">
        <v>47</v>
      </c>
      <c r="F54" s="71" t="s">
        <v>48</v>
      </c>
      <c r="G54" s="72" t="s">
        <v>4</v>
      </c>
      <c r="I54" s="65" t="n">
        <f aca="false">G67</f>
        <v>-54880</v>
      </c>
      <c r="J54" s="2" t="n">
        <v>13500</v>
      </c>
      <c r="K54" s="66" t="s">
        <v>49</v>
      </c>
      <c r="L54" s="74" t="n">
        <v>32</v>
      </c>
    </row>
    <row r="55" customFormat="false" ht="14.05" hidden="false" customHeight="false" outlineLevel="0" collapsed="false">
      <c r="C55" s="75" t="n">
        <v>601</v>
      </c>
      <c r="D55" s="26" t="s">
        <v>79</v>
      </c>
      <c r="E55" s="103"/>
      <c r="F55" s="104" t="n">
        <v>-54000</v>
      </c>
      <c r="G55" s="95" t="n">
        <f aca="false">SUM(E55:F55)</f>
        <v>-54000</v>
      </c>
      <c r="I55" s="65"/>
      <c r="K55" s="67"/>
      <c r="L55" s="67"/>
    </row>
    <row r="56" customFormat="false" ht="14.05" hidden="false" customHeight="false" outlineLevel="0" collapsed="false">
      <c r="C56" s="75" t="n">
        <v>602</v>
      </c>
      <c r="D56" s="26" t="s">
        <v>80</v>
      </c>
      <c r="E56" s="103"/>
      <c r="F56" s="103" t="n">
        <v>-5000</v>
      </c>
      <c r="G56" s="95" t="n">
        <f aca="false">SUM(E56:F56)</f>
        <v>-5000</v>
      </c>
      <c r="I56" s="65"/>
      <c r="K56" s="67"/>
      <c r="L56" s="67"/>
    </row>
    <row r="57" customFormat="false" ht="14.05" hidden="false" customHeight="false" outlineLevel="0" collapsed="false">
      <c r="C57" s="81" t="n">
        <v>603</v>
      </c>
      <c r="D57" s="32" t="s">
        <v>81</v>
      </c>
      <c r="E57" s="106"/>
      <c r="F57" s="106" t="n">
        <f aca="false">-800*32</f>
        <v>-25600</v>
      </c>
      <c r="G57" s="98" t="n">
        <f aca="false">SUM(E57:F57)</f>
        <v>-25600</v>
      </c>
      <c r="I57" s="65"/>
      <c r="K57" s="67"/>
      <c r="L57" s="67"/>
    </row>
    <row r="58" customFormat="false" ht="14.05" hidden="false" customHeight="false" outlineLevel="0" collapsed="false">
      <c r="C58" s="81" t="n">
        <v>604</v>
      </c>
      <c r="D58" s="32" t="s">
        <v>82</v>
      </c>
      <c r="E58" s="106"/>
      <c r="F58" s="106" t="n">
        <f aca="false">-800*4</f>
        <v>-3200</v>
      </c>
      <c r="G58" s="98" t="n">
        <f aca="false">SUM(E58:F58)</f>
        <v>-3200</v>
      </c>
      <c r="I58" s="65"/>
      <c r="K58" s="67"/>
      <c r="L58" s="67"/>
    </row>
    <row r="59" customFormat="false" ht="14.05" hidden="false" customHeight="false" outlineLevel="0" collapsed="false">
      <c r="C59" s="81" t="n">
        <v>605</v>
      </c>
      <c r="D59" s="32" t="s">
        <v>83</v>
      </c>
      <c r="E59" s="106"/>
      <c r="F59" s="106" t="n">
        <f aca="false">-610*L54</f>
        <v>-19520</v>
      </c>
      <c r="G59" s="98" t="n">
        <f aca="false">F59</f>
        <v>-19520</v>
      </c>
      <c r="I59" s="65"/>
      <c r="K59" s="67"/>
      <c r="L59" s="67"/>
    </row>
    <row r="60" customFormat="false" ht="14.05" hidden="false" customHeight="false" outlineLevel="0" collapsed="false">
      <c r="C60" s="109" t="n">
        <v>606</v>
      </c>
      <c r="D60" s="32" t="s">
        <v>84</v>
      </c>
      <c r="E60" s="106"/>
      <c r="F60" s="106" t="n">
        <f aca="false">-1000*8</f>
        <v>-8000</v>
      </c>
      <c r="G60" s="98" t="n">
        <f aca="false">F60</f>
        <v>-8000</v>
      </c>
      <c r="I60" s="65"/>
      <c r="K60" s="67"/>
      <c r="L60" s="67"/>
    </row>
    <row r="61" customFormat="false" ht="14.05" hidden="false" customHeight="false" outlineLevel="0" collapsed="false">
      <c r="C61" s="109" t="n">
        <v>607</v>
      </c>
      <c r="D61" s="32" t="s">
        <v>85</v>
      </c>
      <c r="E61" s="106"/>
      <c r="F61" s="106" t="n">
        <f aca="false">-390*4</f>
        <v>-1560</v>
      </c>
      <c r="G61" s="98" t="n">
        <f aca="false">SUM(E61:F61)</f>
        <v>-1560</v>
      </c>
      <c r="I61" s="65"/>
      <c r="K61" s="67"/>
      <c r="L61" s="67"/>
    </row>
    <row r="62" customFormat="false" ht="14.05" hidden="false" customHeight="false" outlineLevel="0" collapsed="false">
      <c r="C62" s="109" t="n">
        <v>608</v>
      </c>
      <c r="D62" s="32" t="s">
        <v>86</v>
      </c>
      <c r="E62" s="115" t="n">
        <v>64000</v>
      </c>
      <c r="F62" s="106"/>
      <c r="G62" s="98" t="n">
        <f aca="false">SUM(E62:F62)</f>
        <v>64000</v>
      </c>
      <c r="H62" s="2" t="n">
        <v>80000</v>
      </c>
      <c r="I62" s="65"/>
      <c r="K62" s="67"/>
      <c r="L62" s="67"/>
    </row>
    <row r="63" customFormat="false" ht="14.05" hidden="false" customHeight="false" outlineLevel="0" collapsed="false">
      <c r="C63" s="109" t="n">
        <v>609</v>
      </c>
      <c r="D63" s="110" t="s">
        <v>87</v>
      </c>
      <c r="E63" s="112" t="n">
        <v>0</v>
      </c>
      <c r="F63" s="112"/>
      <c r="G63" s="113"/>
      <c r="I63" s="65"/>
      <c r="K63" s="67"/>
      <c r="L63" s="67"/>
    </row>
    <row r="64" customFormat="false" ht="14.05" hidden="false" customHeight="false" outlineLevel="0" collapsed="false">
      <c r="C64" s="109"/>
      <c r="D64" s="110"/>
      <c r="E64" s="111"/>
      <c r="F64" s="112"/>
      <c r="G64" s="113"/>
      <c r="I64" s="65"/>
      <c r="K64" s="67"/>
      <c r="L64" s="67"/>
    </row>
    <row r="65" customFormat="false" ht="14.05" hidden="false" customHeight="false" outlineLevel="0" collapsed="false">
      <c r="C65" s="109"/>
      <c r="D65" s="110"/>
      <c r="E65" s="111"/>
      <c r="F65" s="112"/>
      <c r="G65" s="113"/>
      <c r="I65" s="65"/>
      <c r="K65" s="67"/>
      <c r="L65" s="67"/>
    </row>
    <row r="66" customFormat="false" ht="14.05" hidden="false" customHeight="false" outlineLevel="0" collapsed="false">
      <c r="C66" s="86" t="n">
        <v>610</v>
      </c>
      <c r="D66" s="100" t="s">
        <v>88</v>
      </c>
      <c r="E66" s="114"/>
      <c r="F66" s="114" t="n">
        <v>-2000</v>
      </c>
      <c r="G66" s="98" t="n">
        <f aca="false">SUM(E66:F66)</f>
        <v>-2000</v>
      </c>
      <c r="I66" s="65"/>
      <c r="K66" s="66" t="s">
        <v>58</v>
      </c>
      <c r="L66" s="89" t="n">
        <f aca="false">(ABS(SUM(F55:F66))-I54)/L54</f>
        <v>5430</v>
      </c>
      <c r="M66" s="2" t="n">
        <v>2500</v>
      </c>
    </row>
    <row r="67" customFormat="false" ht="14.05" hidden="false" customHeight="false" outlineLevel="0" collapsed="false">
      <c r="D67" s="30" t="s">
        <v>89</v>
      </c>
      <c r="E67" s="63" t="n">
        <f aca="false">SUM(E55:E66)</f>
        <v>64000</v>
      </c>
      <c r="F67" s="63" t="n">
        <f aca="false">SUM(F55:F66)</f>
        <v>-118880</v>
      </c>
      <c r="G67" s="102" t="n">
        <f aca="false">SUM(G55:G66)</f>
        <v>-54880</v>
      </c>
      <c r="I67" s="65"/>
      <c r="K67" s="66" t="s">
        <v>77</v>
      </c>
      <c r="L67" s="67"/>
    </row>
    <row r="68" customFormat="false" ht="14.05" hidden="false" customHeight="false" outlineLevel="0" collapsed="false">
      <c r="D68" s="30"/>
      <c r="E68" s="63"/>
      <c r="F68" s="63"/>
      <c r="I68" s="65"/>
      <c r="K68" s="67"/>
      <c r="L68" s="67"/>
    </row>
    <row r="69" customFormat="false" ht="14.05" hidden="false" customHeight="false" outlineLevel="0" collapsed="false">
      <c r="E69" s="63"/>
      <c r="F69" s="63"/>
      <c r="I69" s="65"/>
      <c r="K69" s="67"/>
      <c r="L69" s="67"/>
    </row>
    <row r="70" customFormat="false" ht="14.05" hidden="false" customHeight="false" outlineLevel="0" collapsed="false">
      <c r="D70" s="30"/>
      <c r="E70" s="63"/>
      <c r="F70" s="63"/>
      <c r="I70" s="65"/>
      <c r="K70" s="67"/>
      <c r="L70" s="67"/>
    </row>
    <row r="71" customFormat="false" ht="19.4" hidden="false" customHeight="false" outlineLevel="0" collapsed="false">
      <c r="D71" s="68" t="s">
        <v>90</v>
      </c>
      <c r="E71" s="63"/>
      <c r="F71" s="63"/>
      <c r="I71" s="65"/>
      <c r="K71" s="67"/>
      <c r="L71" s="67"/>
    </row>
    <row r="72" customFormat="false" ht="14.05" hidden="false" customHeight="false" outlineLevel="0" collapsed="false">
      <c r="E72" s="63"/>
      <c r="F72" s="63"/>
      <c r="I72" s="65"/>
      <c r="K72" s="67"/>
      <c r="L72" s="67"/>
    </row>
    <row r="73" customFormat="false" ht="17.65" hidden="false" customHeight="false" outlineLevel="0" collapsed="false">
      <c r="C73" s="69" t="s">
        <v>45</v>
      </c>
      <c r="D73" s="70" t="s">
        <v>46</v>
      </c>
      <c r="E73" s="71" t="s">
        <v>47</v>
      </c>
      <c r="F73" s="71" t="s">
        <v>48</v>
      </c>
      <c r="G73" s="72" t="s">
        <v>4</v>
      </c>
      <c r="I73" s="65" t="n">
        <f aca="false">G78</f>
        <v>0</v>
      </c>
      <c r="J73" s="2" t="n">
        <v>4800</v>
      </c>
      <c r="K73" s="67"/>
      <c r="L73" s="67" t="n">
        <v>53</v>
      </c>
    </row>
    <row r="74" customFormat="false" ht="14.05" hidden="false" customHeight="false" outlineLevel="0" collapsed="false">
      <c r="C74" s="75" t="n">
        <v>701</v>
      </c>
      <c r="D74" s="26" t="s">
        <v>91</v>
      </c>
      <c r="E74" s="103"/>
      <c r="F74" s="103" t="n">
        <v>0</v>
      </c>
      <c r="G74" s="95" t="n">
        <f aca="false">SUM(E74:F74)</f>
        <v>0</v>
      </c>
      <c r="I74" s="65"/>
      <c r="K74" s="67"/>
      <c r="L74" s="67"/>
    </row>
    <row r="75" customFormat="false" ht="14.05" hidden="false" customHeight="false" outlineLevel="0" collapsed="false">
      <c r="C75" s="116" t="n">
        <v>702</v>
      </c>
      <c r="D75" s="117" t="s">
        <v>92</v>
      </c>
      <c r="E75" s="118"/>
      <c r="F75" s="118" t="n">
        <v>-30000</v>
      </c>
      <c r="G75" s="95" t="n">
        <f aca="false">SUM(E75:F75)</f>
        <v>-30000</v>
      </c>
      <c r="I75" s="65"/>
      <c r="K75" s="67"/>
      <c r="L75" s="67"/>
    </row>
    <row r="76" customFormat="false" ht="14.05" hidden="false" customHeight="false" outlineLevel="0" collapsed="false">
      <c r="C76" s="109" t="n">
        <v>703</v>
      </c>
      <c r="D76" s="110" t="s">
        <v>93</v>
      </c>
      <c r="E76" s="112"/>
      <c r="F76" s="112" t="n">
        <v>-51700</v>
      </c>
      <c r="G76" s="95" t="n">
        <f aca="false">SUM(E76:F76)</f>
        <v>-51700</v>
      </c>
      <c r="I76" s="65"/>
      <c r="K76" s="67"/>
      <c r="L76" s="67"/>
    </row>
    <row r="77" customFormat="false" ht="14.05" hidden="false" customHeight="false" outlineLevel="0" collapsed="false">
      <c r="C77" s="86" t="n">
        <v>704</v>
      </c>
      <c r="D77" s="39" t="s">
        <v>94</v>
      </c>
      <c r="E77" s="114" t="n">
        <f aca="false">-SUM(F74:F77)</f>
        <v>81700</v>
      </c>
      <c r="F77" s="114"/>
      <c r="G77" s="95" t="n">
        <f aca="false">SUM(E77:F77)</f>
        <v>81700</v>
      </c>
      <c r="I77" s="65"/>
      <c r="K77" s="67"/>
      <c r="L77" s="67"/>
    </row>
    <row r="78" customFormat="false" ht="14.05" hidden="false" customHeight="false" outlineLevel="0" collapsed="false">
      <c r="E78" s="63" t="n">
        <f aca="false">SUM(E74:E77)</f>
        <v>81700</v>
      </c>
      <c r="F78" s="63" t="n">
        <f aca="false">SUM(F74:F77)</f>
        <v>-81700</v>
      </c>
      <c r="G78" s="102" t="n">
        <f aca="false">SUM(G74:G77)</f>
        <v>0</v>
      </c>
      <c r="I78" s="65"/>
      <c r="K78" s="67"/>
      <c r="L78" s="67" t="n">
        <f aca="false">G77/L73</f>
        <v>1541.50943396226</v>
      </c>
    </row>
    <row r="79" customFormat="false" ht="14.05" hidden="false" customHeight="false" outlineLevel="0" collapsed="false">
      <c r="E79" s="63"/>
      <c r="F79" s="63"/>
      <c r="G79" s="5"/>
      <c r="I79" s="65"/>
      <c r="K79" s="67"/>
      <c r="L79" s="67"/>
    </row>
    <row r="80" customFormat="false" ht="14.05" hidden="false" customHeight="false" outlineLevel="0" collapsed="false">
      <c r="E80" s="63"/>
      <c r="F80" s="63"/>
      <c r="I80" s="65"/>
      <c r="K80" s="67"/>
      <c r="L80" s="67"/>
    </row>
    <row r="81" customFormat="false" ht="19.4" hidden="false" customHeight="false" outlineLevel="0" collapsed="false">
      <c r="D81" s="68" t="s">
        <v>95</v>
      </c>
      <c r="E81" s="63"/>
      <c r="F81" s="63"/>
      <c r="I81" s="65"/>
      <c r="K81" s="67"/>
      <c r="L81" s="67"/>
    </row>
    <row r="82" customFormat="false" ht="14.05" hidden="false" customHeight="false" outlineLevel="0" collapsed="false">
      <c r="E82" s="63"/>
      <c r="F82" s="63"/>
      <c r="I82" s="65"/>
      <c r="K82" s="67"/>
      <c r="L82" s="67"/>
    </row>
    <row r="83" customFormat="false" ht="17.65" hidden="false" customHeight="false" outlineLevel="0" collapsed="false">
      <c r="C83" s="69" t="s">
        <v>45</v>
      </c>
      <c r="D83" s="70" t="s">
        <v>46</v>
      </c>
      <c r="E83" s="71" t="s">
        <v>47</v>
      </c>
      <c r="F83" s="71" t="s">
        <v>48</v>
      </c>
      <c r="G83" s="72" t="s">
        <v>4</v>
      </c>
      <c r="I83" s="65" t="n">
        <f aca="false">G92</f>
        <v>-11400</v>
      </c>
      <c r="J83" s="2" t="n">
        <v>1000</v>
      </c>
      <c r="K83" s="67"/>
      <c r="L83" s="67"/>
    </row>
    <row r="84" customFormat="false" ht="14.05" hidden="false" customHeight="false" outlineLevel="0" collapsed="false">
      <c r="C84" s="75" t="n">
        <v>4020</v>
      </c>
      <c r="D84" s="26" t="s">
        <v>96</v>
      </c>
      <c r="E84" s="103"/>
      <c r="F84" s="103" t="n">
        <v>-2400</v>
      </c>
      <c r="G84" s="95" t="n">
        <f aca="false">SUM(E84:F84)</f>
        <v>-2400</v>
      </c>
      <c r="I84" s="65"/>
      <c r="K84" s="67"/>
      <c r="L84" s="67"/>
    </row>
    <row r="85" customFormat="false" ht="14.05" hidden="false" customHeight="false" outlineLevel="0" collapsed="false">
      <c r="C85" s="81" t="n">
        <v>4020</v>
      </c>
      <c r="D85" s="32" t="s">
        <v>97</v>
      </c>
      <c r="E85" s="106"/>
      <c r="F85" s="106" t="n">
        <v>-500</v>
      </c>
      <c r="G85" s="98" t="n">
        <f aca="false">SUM(E85:F85)</f>
        <v>-500</v>
      </c>
      <c r="I85" s="65"/>
      <c r="K85" s="67"/>
      <c r="L85" s="67"/>
    </row>
    <row r="86" customFormat="false" ht="14.05" hidden="false" customHeight="false" outlineLevel="0" collapsed="false">
      <c r="C86" s="81" t="s">
        <v>98</v>
      </c>
      <c r="D86" s="32" t="s">
        <v>99</v>
      </c>
      <c r="E86" s="106"/>
      <c r="F86" s="106" t="n">
        <v>0</v>
      </c>
      <c r="G86" s="98" t="n">
        <f aca="false">SUM(E86:F86)</f>
        <v>0</v>
      </c>
      <c r="I86" s="65"/>
      <c r="K86" s="67"/>
      <c r="L86" s="67"/>
    </row>
    <row r="87" customFormat="false" ht="14.05" hidden="false" customHeight="false" outlineLevel="0" collapsed="false">
      <c r="C87" s="75" t="n">
        <v>4015</v>
      </c>
      <c r="D87" s="32" t="s">
        <v>100</v>
      </c>
      <c r="E87" s="106"/>
      <c r="F87" s="106" t="n">
        <v>-7500</v>
      </c>
      <c r="G87" s="98" t="n">
        <f aca="false">SUM(E87:F87)</f>
        <v>-7500</v>
      </c>
      <c r="I87" s="65"/>
      <c r="K87" s="67"/>
      <c r="L87" s="67"/>
    </row>
    <row r="88" customFormat="false" ht="14.05" hidden="false" customHeight="false" outlineLevel="0" collapsed="false">
      <c r="C88" s="81" t="s">
        <v>98</v>
      </c>
      <c r="D88" s="110" t="s">
        <v>101</v>
      </c>
      <c r="E88" s="112" t="n">
        <v>5000</v>
      </c>
      <c r="F88" s="112"/>
      <c r="G88" s="98" t="n">
        <f aca="false">SUM(E88:F88)</f>
        <v>5000</v>
      </c>
      <c r="I88" s="65"/>
      <c r="K88" s="67"/>
      <c r="L88" s="67"/>
    </row>
    <row r="89" customFormat="false" ht="14.05" hidden="false" customHeight="false" outlineLevel="0" collapsed="false">
      <c r="C89" s="109" t="n">
        <v>4030</v>
      </c>
      <c r="D89" s="110" t="s">
        <v>102</v>
      </c>
      <c r="E89" s="112"/>
      <c r="F89" s="112" t="n">
        <v>-5000</v>
      </c>
      <c r="G89" s="98" t="n">
        <f aca="false">SUM(E89:F89)</f>
        <v>-5000</v>
      </c>
      <c r="I89" s="65"/>
      <c r="K89" s="67"/>
      <c r="L89" s="67"/>
    </row>
    <row r="90" customFormat="false" ht="14.05" hidden="false" customHeight="false" outlineLevel="0" collapsed="false">
      <c r="C90" s="109"/>
      <c r="D90" s="110"/>
      <c r="E90" s="112"/>
      <c r="F90" s="112"/>
      <c r="G90" s="113"/>
      <c r="I90" s="65"/>
      <c r="K90" s="67"/>
      <c r="L90" s="67"/>
    </row>
    <row r="91" customFormat="false" ht="14.05" hidden="false" customHeight="false" outlineLevel="0" collapsed="false">
      <c r="C91" s="86" t="n">
        <v>4180</v>
      </c>
      <c r="D91" s="100" t="s">
        <v>103</v>
      </c>
      <c r="E91" s="114"/>
      <c r="F91" s="114" t="n">
        <v>-1000</v>
      </c>
      <c r="G91" s="101" t="n">
        <f aca="false">SUM(E91:F91)</f>
        <v>-1000</v>
      </c>
      <c r="I91" s="65"/>
      <c r="K91" s="67"/>
      <c r="L91" s="67"/>
    </row>
    <row r="92" customFormat="false" ht="14.05" hidden="false" customHeight="false" outlineLevel="0" collapsed="false">
      <c r="E92" s="63"/>
      <c r="F92" s="63"/>
      <c r="G92" s="102" t="n">
        <f aca="false">SUM(G84:G91)</f>
        <v>-11400</v>
      </c>
      <c r="I92" s="65"/>
      <c r="K92" s="67"/>
      <c r="L92" s="67"/>
    </row>
    <row r="93" customFormat="false" ht="14.05" hidden="false" customHeight="false" outlineLevel="0" collapsed="false">
      <c r="E93" s="63"/>
      <c r="F93" s="63"/>
      <c r="G93" s="5"/>
      <c r="I93" s="65"/>
    </row>
    <row r="94" customFormat="false" ht="14.05" hidden="false" customHeight="false" outlineLevel="0" collapsed="false">
      <c r="E94" s="63"/>
      <c r="F94" s="63"/>
      <c r="G94" s="5"/>
      <c r="I94" s="65"/>
    </row>
    <row r="95" customFormat="false" ht="14.05" hidden="false" customHeight="false" outlineLevel="0" collapsed="false">
      <c r="E95" s="63"/>
      <c r="F95" s="63" t="s">
        <v>104</v>
      </c>
      <c r="G95" s="119" t="n">
        <f aca="false">G18+G32+G49+G78+G67+G92</f>
        <v>-85232.6</v>
      </c>
      <c r="I95" s="65"/>
    </row>
    <row r="97" customFormat="false" ht="19.4" hidden="false" customHeight="false" outlineLevel="0" collapsed="false">
      <c r="D97" s="68" t="s">
        <v>105</v>
      </c>
      <c r="E97" s="63"/>
      <c r="F97" s="63"/>
    </row>
    <row r="98" customFormat="false" ht="14.05" hidden="false" customHeight="false" outlineLevel="0" collapsed="false">
      <c r="E98" s="63"/>
      <c r="F98" s="63"/>
    </row>
    <row r="99" customFormat="false" ht="17.65" hidden="false" customHeight="false" outlineLevel="0" collapsed="false">
      <c r="C99" s="69" t="s">
        <v>45</v>
      </c>
      <c r="D99" s="70" t="s">
        <v>46</v>
      </c>
      <c r="E99" s="71" t="s">
        <v>47</v>
      </c>
      <c r="F99" s="71" t="s">
        <v>48</v>
      </c>
      <c r="G99" s="72" t="s">
        <v>4</v>
      </c>
      <c r="I99" s="65" t="n">
        <f aca="false">G104</f>
        <v>10500</v>
      </c>
    </row>
    <row r="100" customFormat="false" ht="14.05" hidden="false" customHeight="false" outlineLevel="0" collapsed="false">
      <c r="C100" s="75" t="n">
        <v>3177</v>
      </c>
      <c r="D100" s="26" t="s">
        <v>106</v>
      </c>
      <c r="E100" s="103" t="n">
        <v>26000</v>
      </c>
      <c r="F100" s="103"/>
      <c r="G100" s="95" t="n">
        <f aca="false">SUM(E100:F100)</f>
        <v>26000</v>
      </c>
      <c r="I100" s="65"/>
    </row>
    <row r="101" customFormat="false" ht="14.05" hidden="false" customHeight="false" outlineLevel="0" collapsed="false">
      <c r="C101" s="81" t="n">
        <v>4177</v>
      </c>
      <c r="D101" s="32" t="s">
        <v>107</v>
      </c>
      <c r="E101" s="106"/>
      <c r="F101" s="106" t="n">
        <v>-15000</v>
      </c>
      <c r="G101" s="98" t="n">
        <f aca="false">SUM(E101:F101)</f>
        <v>-15000</v>
      </c>
      <c r="I101" s="65"/>
    </row>
    <row r="102" customFormat="false" ht="14.05" hidden="false" customHeight="false" outlineLevel="0" collapsed="false">
      <c r="C102" s="81" t="n">
        <v>4177</v>
      </c>
      <c r="D102" s="32" t="s">
        <v>108</v>
      </c>
      <c r="E102" s="106"/>
      <c r="F102" s="106" t="n">
        <v>-500</v>
      </c>
      <c r="G102" s="98" t="n">
        <f aca="false">SUM(E102:F102)</f>
        <v>-500</v>
      </c>
      <c r="I102" s="65"/>
    </row>
    <row r="103" customFormat="false" ht="14.05" hidden="false" customHeight="false" outlineLevel="0" collapsed="false">
      <c r="C103" s="81"/>
      <c r="D103" s="100"/>
      <c r="E103" s="114"/>
      <c r="F103" s="114"/>
      <c r="G103" s="101"/>
      <c r="I103" s="65"/>
    </row>
    <row r="104" customFormat="false" ht="14.05" hidden="false" customHeight="false" outlineLevel="0" collapsed="false">
      <c r="E104" s="63"/>
      <c r="F104" s="63"/>
      <c r="G104" s="120" t="n">
        <f aca="false">SUM(G100:G103)</f>
        <v>10500</v>
      </c>
      <c r="I104" s="65"/>
    </row>
    <row r="105" customFormat="false" ht="14.05" hidden="false" customHeight="false" outlineLevel="0" collapsed="false">
      <c r="I105" s="65"/>
    </row>
    <row r="106" customFormat="false" ht="14.05" hidden="false" customHeight="false" outlineLevel="0" collapsed="false">
      <c r="I106" s="65"/>
    </row>
    <row r="107" customFormat="false" ht="14.05" hidden="false" customHeight="false" outlineLevel="0" collapsed="false">
      <c r="I107" s="65"/>
    </row>
    <row r="108" customFormat="false" ht="19.4" hidden="false" customHeight="false" outlineLevel="0" collapsed="false">
      <c r="D108" s="68" t="s">
        <v>109</v>
      </c>
      <c r="E108" s="63"/>
      <c r="F108" s="63"/>
      <c r="I108" s="65"/>
    </row>
    <row r="109" customFormat="false" ht="14.05" hidden="false" customHeight="false" outlineLevel="0" collapsed="false">
      <c r="E109" s="63"/>
      <c r="F109" s="63"/>
      <c r="I109" s="65"/>
    </row>
    <row r="110" customFormat="false" ht="17.65" hidden="false" customHeight="false" outlineLevel="0" collapsed="false">
      <c r="C110" s="69" t="s">
        <v>45</v>
      </c>
      <c r="D110" s="70" t="s">
        <v>46</v>
      </c>
      <c r="E110" s="71" t="s">
        <v>47</v>
      </c>
      <c r="F110" s="71" t="s">
        <v>48</v>
      </c>
      <c r="G110" s="72" t="s">
        <v>4</v>
      </c>
      <c r="I110" s="65" t="n">
        <f aca="false">G116</f>
        <v>0</v>
      </c>
    </row>
    <row r="111" customFormat="false" ht="14.05" hidden="false" customHeight="false" outlineLevel="0" collapsed="false">
      <c r="C111" s="75" t="n">
        <v>3178</v>
      </c>
      <c r="D111" s="26" t="s">
        <v>110</v>
      </c>
      <c r="E111" s="103" t="n">
        <v>72000</v>
      </c>
      <c r="F111" s="103"/>
      <c r="G111" s="98" t="n">
        <f aca="false">SUM(E111:F111)</f>
        <v>72000</v>
      </c>
      <c r="I111" s="65"/>
    </row>
    <row r="112" customFormat="false" ht="14.05" hidden="false" customHeight="false" outlineLevel="0" collapsed="false">
      <c r="C112" s="81" t="n">
        <v>4178</v>
      </c>
      <c r="D112" s="32" t="s">
        <v>23</v>
      </c>
      <c r="E112" s="106"/>
      <c r="F112" s="106" t="n">
        <v>-60000</v>
      </c>
      <c r="G112" s="98" t="n">
        <f aca="false">SUM(E112:F112)</f>
        <v>-60000</v>
      </c>
      <c r="I112" s="65"/>
    </row>
    <row r="113" customFormat="false" ht="14.05" hidden="false" customHeight="false" outlineLevel="0" collapsed="false">
      <c r="C113" s="81" t="n">
        <v>4178</v>
      </c>
      <c r="D113" s="32" t="s">
        <v>111</v>
      </c>
      <c r="E113" s="106"/>
      <c r="F113" s="106" t="n">
        <v>-12000</v>
      </c>
      <c r="G113" s="98" t="n">
        <f aca="false">SUM(E113:F113)</f>
        <v>-12000</v>
      </c>
      <c r="I113" s="65"/>
    </row>
    <row r="114" customFormat="false" ht="14.05" hidden="false" customHeight="false" outlineLevel="0" collapsed="false">
      <c r="C114" s="81"/>
      <c r="D114" s="32"/>
      <c r="E114" s="106"/>
      <c r="F114" s="106"/>
      <c r="G114" s="98" t="n">
        <f aca="false">SUM(E114:F114)</f>
        <v>0</v>
      </c>
      <c r="I114" s="65"/>
    </row>
    <row r="115" customFormat="false" ht="14.05" hidden="false" customHeight="false" outlineLevel="0" collapsed="false">
      <c r="C115" s="81"/>
      <c r="D115" s="100"/>
      <c r="E115" s="114"/>
      <c r="F115" s="114"/>
      <c r="G115" s="101"/>
      <c r="I115" s="65"/>
    </row>
    <row r="116" customFormat="false" ht="14.05" hidden="false" customHeight="false" outlineLevel="0" collapsed="false">
      <c r="E116" s="63"/>
      <c r="F116" s="63"/>
      <c r="G116" s="120" t="n">
        <f aca="false">SUM(G111:G115)</f>
        <v>0</v>
      </c>
      <c r="I116" s="65"/>
    </row>
    <row r="117" customFormat="false" ht="14.05" hidden="false" customHeight="false" outlineLevel="0" collapsed="false">
      <c r="I117" s="65"/>
    </row>
    <row r="118" customFormat="false" ht="14.05" hidden="false" customHeight="false" outlineLevel="0" collapsed="false">
      <c r="I118" s="65"/>
    </row>
    <row r="119" customFormat="false" ht="19.4" hidden="false" customHeight="false" outlineLevel="0" collapsed="false">
      <c r="D119" s="68" t="s">
        <v>112</v>
      </c>
      <c r="E119" s="63"/>
      <c r="F119" s="63"/>
      <c r="I119" s="65"/>
    </row>
    <row r="120" customFormat="false" ht="14.05" hidden="false" customHeight="false" outlineLevel="0" collapsed="false">
      <c r="E120" s="63"/>
      <c r="F120" s="63"/>
      <c r="I120" s="65"/>
    </row>
    <row r="121" customFormat="false" ht="17.65" hidden="false" customHeight="false" outlineLevel="0" collapsed="false">
      <c r="C121" s="69" t="s">
        <v>45</v>
      </c>
      <c r="D121" s="70" t="s">
        <v>46</v>
      </c>
      <c r="E121" s="71" t="s">
        <v>47</v>
      </c>
      <c r="F121" s="71" t="s">
        <v>48</v>
      </c>
      <c r="G121" s="72" t="s">
        <v>4</v>
      </c>
      <c r="I121" s="65" t="n">
        <f aca="false">G125</f>
        <v>-30000</v>
      </c>
    </row>
    <row r="122" customFormat="false" ht="14.05" hidden="false" customHeight="false" outlineLevel="0" collapsed="false">
      <c r="C122" s="75" t="n">
        <v>7610</v>
      </c>
      <c r="D122" s="26" t="s">
        <v>113</v>
      </c>
      <c r="E122" s="103"/>
      <c r="F122" s="103" t="n">
        <v>-10000</v>
      </c>
      <c r="G122" s="98" t="n">
        <f aca="false">SUM(E122:F122)</f>
        <v>-10000</v>
      </c>
      <c r="I122" s="65"/>
    </row>
    <row r="123" customFormat="false" ht="14.05" hidden="false" customHeight="false" outlineLevel="0" collapsed="false">
      <c r="C123" s="81" t="n">
        <v>7610</v>
      </c>
      <c r="D123" s="32" t="s">
        <v>114</v>
      </c>
      <c r="E123" s="106"/>
      <c r="F123" s="106" t="n">
        <v>-20000</v>
      </c>
      <c r="G123" s="98" t="n">
        <f aca="false">SUM(E123:F123)</f>
        <v>-20000</v>
      </c>
      <c r="I123" s="65"/>
    </row>
    <row r="124" customFormat="false" ht="14.05" hidden="false" customHeight="false" outlineLevel="0" collapsed="false">
      <c r="C124" s="81"/>
      <c r="D124" s="100"/>
      <c r="E124" s="114"/>
      <c r="F124" s="114"/>
      <c r="G124" s="101"/>
      <c r="I124" s="65"/>
    </row>
    <row r="125" customFormat="false" ht="14.05" hidden="false" customHeight="false" outlineLevel="0" collapsed="false">
      <c r="E125" s="63"/>
      <c r="F125" s="63"/>
      <c r="G125" s="120" t="n">
        <f aca="false">SUM(G122:G124)</f>
        <v>-30000</v>
      </c>
      <c r="I125" s="65"/>
    </row>
    <row r="126" customFormat="false" ht="14.05" hidden="false" customHeight="false" outlineLevel="0" collapsed="false">
      <c r="I126" s="65"/>
    </row>
    <row r="127" customFormat="false" ht="14.05" hidden="false" customHeight="false" outlineLevel="0" collapsed="false">
      <c r="I127" s="65"/>
    </row>
    <row r="128" customFormat="false" ht="14.05" hidden="false" customHeight="false" outlineLevel="0" collapsed="false">
      <c r="I128" s="65"/>
    </row>
    <row r="129" customFormat="false" ht="14.05" hidden="false" customHeight="false" outlineLevel="0" collapsed="false">
      <c r="I129" s="73" t="n">
        <f aca="false">SUM(I9:I128)</f>
        <v>-104732.6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.25"/>
  <cols>
    <col collapsed="false" hidden="false" max="1" min="1" style="1" width="11.7704081632653"/>
    <col collapsed="false" hidden="false" max="2" min="2" style="2" width="39.9132653061224"/>
    <col collapsed="false" hidden="false" max="3" min="3" style="3" width="12.780612244898"/>
    <col collapsed="false" hidden="false" max="4" min="4" style="121" width="10.9183673469388"/>
    <col collapsed="false" hidden="false" max="5" min="5" style="121" width="10.6173469387755"/>
    <col collapsed="false" hidden="false" max="7" min="6" style="2" width="6.89285714285714"/>
    <col collapsed="false" hidden="false" max="8" min="8" style="2" width="10.4744897959184"/>
    <col collapsed="false" hidden="false" max="9" min="9" style="2" width="17.234693877551"/>
    <col collapsed="false" hidden="false" max="256" min="10" style="2" width="10.0510204081633"/>
    <col collapsed="false" hidden="false" max="257" min="257" style="2" width="12.6377551020408"/>
    <col collapsed="false" hidden="false" max="258" min="258" style="2" width="38.7704081632653"/>
    <col collapsed="false" hidden="false" max="259" min="259" style="2" width="12.780612244898"/>
    <col collapsed="false" hidden="false" max="260" min="260" style="2" width="10.9183673469388"/>
    <col collapsed="false" hidden="false" max="261" min="261" style="2" width="10.6173469387755"/>
    <col collapsed="false" hidden="false" max="263" min="262" style="2" width="6.89285714285714"/>
    <col collapsed="false" hidden="false" max="264" min="264" style="2" width="6.31632653061225"/>
    <col collapsed="false" hidden="false" max="265" min="265" style="2" width="17.234693877551"/>
    <col collapsed="false" hidden="false" max="512" min="266" style="2" width="10.0510204081633"/>
    <col collapsed="false" hidden="false" max="513" min="513" style="2" width="12.6377551020408"/>
    <col collapsed="false" hidden="false" max="514" min="514" style="2" width="38.7704081632653"/>
    <col collapsed="false" hidden="false" max="515" min="515" style="2" width="12.780612244898"/>
    <col collapsed="false" hidden="false" max="516" min="516" style="2" width="10.9183673469388"/>
    <col collapsed="false" hidden="false" max="517" min="517" style="2" width="10.6173469387755"/>
    <col collapsed="false" hidden="false" max="519" min="518" style="2" width="6.89285714285714"/>
    <col collapsed="false" hidden="false" max="520" min="520" style="2" width="6.31632653061225"/>
    <col collapsed="false" hidden="false" max="521" min="521" style="2" width="17.234693877551"/>
    <col collapsed="false" hidden="false" max="768" min="522" style="2" width="10.0510204081633"/>
    <col collapsed="false" hidden="false" max="769" min="769" style="2" width="12.6377551020408"/>
    <col collapsed="false" hidden="false" max="770" min="770" style="2" width="38.7704081632653"/>
    <col collapsed="false" hidden="false" max="771" min="771" style="2" width="12.780612244898"/>
    <col collapsed="false" hidden="false" max="772" min="772" style="2" width="10.9183673469388"/>
    <col collapsed="false" hidden="false" max="773" min="773" style="2" width="10.6173469387755"/>
    <col collapsed="false" hidden="false" max="775" min="774" style="2" width="6.89285714285714"/>
    <col collapsed="false" hidden="false" max="776" min="776" style="2" width="6.31632653061225"/>
    <col collapsed="false" hidden="false" max="777" min="777" style="2" width="17.234693877551"/>
    <col collapsed="false" hidden="false" max="1025" min="778" style="2" width="10.0510204081633"/>
  </cols>
  <sheetData>
    <row r="1" customFormat="false" ht="20.05" hidden="false" customHeight="false" outlineLevel="0" collapsed="false">
      <c r="A1" s="4" t="s">
        <v>0</v>
      </c>
      <c r="B1" s="5"/>
      <c r="G1" s="5"/>
      <c r="H1" s="5"/>
      <c r="I1" s="5"/>
      <c r="J1" s="5"/>
      <c r="K1" s="5"/>
      <c r="L1" s="5"/>
      <c r="M1" s="5"/>
      <c r="N1" s="5"/>
      <c r="O1" s="5"/>
    </row>
    <row r="2" customFormat="false" ht="27" hidden="false" customHeight="true" outlineLevel="0" collapsed="false">
      <c r="A2" s="6" t="s">
        <v>1</v>
      </c>
      <c r="B2" s="7" t="s">
        <v>2</v>
      </c>
      <c r="F2" s="5"/>
      <c r="G2" s="5"/>
      <c r="H2" s="5" t="s">
        <v>4</v>
      </c>
      <c r="I2" s="5"/>
      <c r="J2" s="5"/>
      <c r="K2" s="5"/>
      <c r="L2" s="5"/>
      <c r="M2" s="5"/>
      <c r="N2" s="5"/>
      <c r="O2" s="5"/>
    </row>
    <row r="3" customFormat="false" ht="18.95" hidden="false" customHeight="true" outlineLevel="0" collapsed="false">
      <c r="B3" s="9"/>
      <c r="C3" s="3" t="s">
        <v>5</v>
      </c>
      <c r="D3" s="10" t="s">
        <v>6</v>
      </c>
      <c r="E3" s="24" t="s">
        <v>5</v>
      </c>
      <c r="F3" s="12"/>
      <c r="G3" s="122"/>
      <c r="H3" s="3" t="s">
        <v>5</v>
      </c>
      <c r="I3" s="10" t="s">
        <v>6</v>
      </c>
      <c r="J3" s="24" t="s">
        <v>5</v>
      </c>
      <c r="K3" s="13"/>
      <c r="L3" s="13"/>
      <c r="M3" s="5"/>
      <c r="N3" s="5"/>
      <c r="O3" s="5"/>
    </row>
    <row r="4" customFormat="false" ht="15" hidden="false" customHeight="true" outlineLevel="0" collapsed="false">
      <c r="A4" s="14" t="s">
        <v>8</v>
      </c>
      <c r="B4" s="5"/>
      <c r="C4" s="3" t="n">
        <v>2016</v>
      </c>
      <c r="D4" s="15" t="n">
        <v>2015</v>
      </c>
      <c r="E4" s="15" t="n">
        <v>2015</v>
      </c>
      <c r="F4" s="17"/>
      <c r="G4" s="36"/>
      <c r="H4" s="3" t="n">
        <v>2016</v>
      </c>
      <c r="I4" s="15" t="n">
        <v>2015</v>
      </c>
      <c r="J4" s="15" t="n">
        <v>2015</v>
      </c>
      <c r="K4" s="13"/>
      <c r="L4" s="13"/>
      <c r="M4" s="5"/>
      <c r="N4" s="5"/>
      <c r="O4" s="5"/>
    </row>
    <row r="5" customFormat="false" ht="15.25" hidden="false" customHeight="false" outlineLevel="0" collapsed="false">
      <c r="A5" s="18" t="n">
        <v>3171</v>
      </c>
      <c r="B5" s="19" t="s">
        <v>10</v>
      </c>
      <c r="C5" s="27" t="n">
        <v>31.9</v>
      </c>
      <c r="D5" s="123" t="n">
        <v>22.04</v>
      </c>
      <c r="E5" s="124" t="n">
        <v>21.96</v>
      </c>
      <c r="F5" s="17"/>
      <c r="G5" s="36"/>
      <c r="H5" s="23" t="n">
        <f aca="false">C5-C27</f>
        <v>-3.9</v>
      </c>
      <c r="I5" s="23" t="n">
        <f aca="false">D5-D27</f>
        <v>-4</v>
      </c>
      <c r="J5" s="23" t="n">
        <f aca="false">E5-E27</f>
        <v>-3.92</v>
      </c>
      <c r="K5" s="24"/>
      <c r="L5" s="24"/>
      <c r="M5" s="5"/>
      <c r="N5" s="5"/>
      <c r="O5" s="5"/>
    </row>
    <row r="6" s="30" customFormat="true" ht="15.25" hidden="false" customHeight="false" outlineLevel="0" collapsed="false">
      <c r="A6" s="25" t="n">
        <v>3172</v>
      </c>
      <c r="B6" s="26" t="s">
        <v>12</v>
      </c>
      <c r="C6" s="27" t="n">
        <v>66</v>
      </c>
      <c r="D6" s="125" t="n">
        <v>60.714</v>
      </c>
      <c r="E6" s="124" t="n">
        <v>69</v>
      </c>
      <c r="F6" s="17"/>
      <c r="G6" s="126"/>
      <c r="H6" s="23" t="n">
        <f aca="false">C6-C28</f>
        <v>-8.40000000000001</v>
      </c>
      <c r="I6" s="23" t="n">
        <f aca="false">D6-D28</f>
        <v>-7</v>
      </c>
      <c r="J6" s="23" t="n">
        <f aca="false">E6-E28</f>
        <v>-6.90000000000001</v>
      </c>
      <c r="K6" s="15"/>
      <c r="L6" s="15"/>
      <c r="M6" s="29"/>
      <c r="N6" s="29"/>
      <c r="O6" s="29"/>
    </row>
    <row r="7" s="30" customFormat="true" ht="15.25" hidden="false" customHeight="false" outlineLevel="0" collapsed="false">
      <c r="A7" s="31" t="n">
        <v>3173</v>
      </c>
      <c r="B7" s="32" t="s">
        <v>13</v>
      </c>
      <c r="C7" s="27" t="n">
        <v>36.8</v>
      </c>
      <c r="D7" s="127" t="n">
        <v>22.04</v>
      </c>
      <c r="E7" s="124" t="n">
        <v>35.2</v>
      </c>
      <c r="F7" s="17"/>
      <c r="G7" s="126"/>
      <c r="H7" s="23" t="n">
        <f aca="false">C7-C29</f>
        <v>-6</v>
      </c>
      <c r="I7" s="23" t="n">
        <f aca="false">D7-D29</f>
        <v>2.749</v>
      </c>
      <c r="J7" s="23" t="n">
        <f aca="false">E7-E29</f>
        <v>-5.08499999999999</v>
      </c>
      <c r="K7" s="33"/>
      <c r="L7" s="33"/>
      <c r="M7" s="29"/>
      <c r="N7" s="29"/>
      <c r="O7" s="29"/>
    </row>
    <row r="8" customFormat="false" ht="15.25" hidden="false" customHeight="false" outlineLevel="0" collapsed="false">
      <c r="A8" s="31" t="n">
        <v>3174</v>
      </c>
      <c r="B8" s="32" t="s">
        <v>14</v>
      </c>
      <c r="C8" s="27" t="n">
        <v>48</v>
      </c>
      <c r="D8" s="127" t="n">
        <v>35.1</v>
      </c>
      <c r="E8" s="124" t="n">
        <v>67.2</v>
      </c>
      <c r="F8" s="17"/>
      <c r="G8" s="36"/>
      <c r="H8" s="23" t="n">
        <f aca="false">C8-C30</f>
        <v>-29.4</v>
      </c>
      <c r="I8" s="23" t="n">
        <f aca="false">D8-D30</f>
        <v>-49.439</v>
      </c>
      <c r="J8" s="23" t="n">
        <f aca="false">E8-E30</f>
        <v>-40.08</v>
      </c>
      <c r="K8" s="33"/>
      <c r="L8" s="33"/>
      <c r="M8" s="5"/>
      <c r="N8" s="5"/>
      <c r="O8" s="5"/>
    </row>
    <row r="9" customFormat="false" ht="15.25" hidden="false" customHeight="false" outlineLevel="0" collapsed="false">
      <c r="A9" s="34" t="s">
        <v>115</v>
      </c>
      <c r="B9" s="32" t="s">
        <v>15</v>
      </c>
      <c r="C9" s="27" t="n">
        <v>79.8</v>
      </c>
      <c r="D9" s="127" t="n">
        <v>110.275</v>
      </c>
      <c r="E9" s="124" t="n">
        <v>79.8</v>
      </c>
      <c r="F9" s="17"/>
      <c r="G9" s="36"/>
      <c r="H9" s="23" t="n">
        <f aca="false">C9-C31</f>
        <v>0</v>
      </c>
      <c r="I9" s="23" t="n">
        <f aca="false">D9-D31</f>
        <v>0.00600000000000023</v>
      </c>
      <c r="J9" s="23" t="n">
        <f aca="false">E9-E31</f>
        <v>0</v>
      </c>
      <c r="K9" s="33"/>
      <c r="L9" s="33"/>
      <c r="M9" s="5"/>
      <c r="N9" s="5"/>
      <c r="O9" s="5"/>
    </row>
    <row r="10" s="30" customFormat="true" ht="15.25" hidden="false" customHeight="false" outlineLevel="0" collapsed="false">
      <c r="A10" s="31" t="n">
        <v>3177</v>
      </c>
      <c r="B10" s="32" t="s">
        <v>16</v>
      </c>
      <c r="C10" s="27" t="n">
        <v>23.5</v>
      </c>
      <c r="D10" s="127" t="n">
        <v>26.87</v>
      </c>
      <c r="E10" s="124" t="n">
        <v>31</v>
      </c>
      <c r="F10" s="17"/>
      <c r="G10" s="126"/>
      <c r="H10" s="23" t="n">
        <f aca="false">C10-C32</f>
        <v>7</v>
      </c>
      <c r="I10" s="23" t="n">
        <f aca="false">D10-D32</f>
        <v>12.601</v>
      </c>
      <c r="J10" s="23" t="n">
        <f aca="false">E10-E32</f>
        <v>6</v>
      </c>
      <c r="K10" s="33"/>
      <c r="L10" s="33"/>
      <c r="M10" s="29"/>
      <c r="N10" s="29"/>
      <c r="O10" s="29"/>
    </row>
    <row r="11" customFormat="false" ht="15.25" hidden="false" customHeight="false" outlineLevel="0" collapsed="false">
      <c r="A11" s="31" t="n">
        <v>3178</v>
      </c>
      <c r="B11" s="32" t="s">
        <v>18</v>
      </c>
      <c r="C11" s="27" t="n">
        <v>81</v>
      </c>
      <c r="D11" s="127" t="n">
        <v>73.8</v>
      </c>
      <c r="E11" s="124" t="n">
        <v>50</v>
      </c>
      <c r="F11" s="17"/>
      <c r="G11" s="36"/>
      <c r="H11" s="23" t="n">
        <f aca="false">C11-C33</f>
        <v>5</v>
      </c>
      <c r="I11" s="23" t="n">
        <f aca="false">D11-D33</f>
        <v>22.003</v>
      </c>
      <c r="J11" s="23" t="n">
        <f aca="false">E11-E33</f>
        <v>0</v>
      </c>
      <c r="K11" s="36" t="s">
        <v>116</v>
      </c>
      <c r="L11" s="33"/>
      <c r="M11" s="5"/>
      <c r="N11" s="5"/>
      <c r="O11" s="5"/>
    </row>
    <row r="12" customFormat="false" ht="15.25" hidden="false" customHeight="false" outlineLevel="0" collapsed="false">
      <c r="A12" s="34" t="n">
        <v>3540</v>
      </c>
      <c r="B12" s="32" t="s">
        <v>19</v>
      </c>
      <c r="C12" s="27"/>
      <c r="D12" s="127" t="n">
        <v>14.87</v>
      </c>
      <c r="E12" s="124" t="n">
        <v>16</v>
      </c>
      <c r="F12" s="17"/>
      <c r="G12" s="36"/>
      <c r="H12" s="23" t="n">
        <f aca="false">C12-C23</f>
        <v>-2</v>
      </c>
      <c r="I12" s="23" t="n">
        <f aca="false">D12-D23</f>
        <v>-24.82</v>
      </c>
      <c r="J12" s="23" t="n">
        <f aca="false">E12-E23</f>
        <v>-2</v>
      </c>
      <c r="K12" s="33"/>
      <c r="L12" s="33"/>
      <c r="M12" s="5"/>
      <c r="N12" s="5"/>
      <c r="O12" s="5"/>
    </row>
    <row r="13" customFormat="false" ht="15.25" hidden="false" customHeight="false" outlineLevel="0" collapsed="false">
      <c r="A13" s="34"/>
      <c r="B13" s="32"/>
      <c r="C13" s="27"/>
      <c r="D13" s="128"/>
      <c r="E13" s="124"/>
      <c r="F13" s="17"/>
      <c r="G13" s="36"/>
      <c r="H13" s="23"/>
      <c r="I13" s="23"/>
      <c r="J13" s="23"/>
      <c r="K13" s="37"/>
      <c r="L13" s="33"/>
      <c r="M13" s="5"/>
      <c r="N13" s="5"/>
      <c r="O13" s="5"/>
    </row>
    <row r="14" s="30" customFormat="true" ht="15.25" hidden="false" customHeight="false" outlineLevel="0" collapsed="false">
      <c r="A14" s="34"/>
      <c r="B14" s="32" t="s">
        <v>20</v>
      </c>
      <c r="C14" s="27" t="n">
        <v>5</v>
      </c>
      <c r="D14" s="128"/>
      <c r="E14" s="124" t="n">
        <v>5</v>
      </c>
      <c r="F14" s="17"/>
      <c r="G14" s="126"/>
      <c r="H14" s="23"/>
      <c r="I14" s="23"/>
      <c r="J14" s="23"/>
      <c r="K14" s="36" t="s">
        <v>117</v>
      </c>
      <c r="L14" s="33"/>
      <c r="M14" s="29"/>
      <c r="N14" s="29"/>
      <c r="O14" s="29"/>
    </row>
    <row r="15" s="30" customFormat="true" ht="15.25" hidden="false" customHeight="false" outlineLevel="0" collapsed="false">
      <c r="A15" s="34"/>
      <c r="B15" s="32"/>
      <c r="C15" s="27"/>
      <c r="D15" s="128"/>
      <c r="E15" s="124"/>
      <c r="F15" s="17"/>
      <c r="G15" s="126"/>
      <c r="H15" s="23"/>
      <c r="I15" s="23"/>
      <c r="J15" s="23"/>
      <c r="K15" s="37"/>
      <c r="L15" s="33"/>
      <c r="M15" s="29"/>
      <c r="N15" s="29"/>
      <c r="O15" s="29"/>
    </row>
    <row r="16" s="30" customFormat="true" ht="15.25" hidden="false" customHeight="false" outlineLevel="0" collapsed="false">
      <c r="A16" s="34"/>
      <c r="B16" s="32" t="s">
        <v>21</v>
      </c>
      <c r="C16" s="27"/>
      <c r="D16" s="128"/>
      <c r="E16" s="124"/>
      <c r="F16" s="17"/>
      <c r="G16" s="126"/>
      <c r="H16" s="23" t="n">
        <f aca="false">C16-C34</f>
        <v>-1</v>
      </c>
      <c r="I16" s="23" t="n">
        <f aca="false">D16-D34</f>
        <v>-4.313</v>
      </c>
      <c r="J16" s="23" t="n">
        <f aca="false">E16-E34</f>
        <v>-1</v>
      </c>
      <c r="K16" s="33"/>
      <c r="L16" s="33"/>
      <c r="M16" s="29"/>
      <c r="N16" s="29"/>
      <c r="O16" s="29"/>
    </row>
    <row r="17" s="30" customFormat="true" ht="15.25" hidden="false" customHeight="false" outlineLevel="0" collapsed="false">
      <c r="A17" s="31"/>
      <c r="B17" s="32"/>
      <c r="C17" s="27"/>
      <c r="D17" s="129"/>
      <c r="E17" s="130"/>
      <c r="F17" s="17"/>
      <c r="G17" s="126"/>
      <c r="H17" s="23"/>
      <c r="I17" s="23"/>
      <c r="J17" s="23"/>
      <c r="K17" s="33"/>
      <c r="L17" s="33"/>
      <c r="M17" s="29"/>
      <c r="N17" s="29"/>
      <c r="O17" s="29"/>
    </row>
    <row r="18" customFormat="false" ht="15.25" hidden="false" customHeight="false" outlineLevel="0" collapsed="false">
      <c r="A18" s="38"/>
      <c r="B18" s="39"/>
      <c r="C18" s="40"/>
      <c r="D18" s="131"/>
      <c r="E18" s="132"/>
      <c r="F18" s="17"/>
      <c r="G18" s="36"/>
      <c r="H18" s="23"/>
      <c r="I18" s="23"/>
      <c r="J18" s="23"/>
      <c r="K18" s="33"/>
      <c r="L18" s="33"/>
      <c r="M18" s="5"/>
      <c r="N18" s="5"/>
      <c r="O18" s="5"/>
    </row>
    <row r="19" customFormat="false" ht="15.25" hidden="false" customHeight="false" outlineLevel="0" collapsed="false">
      <c r="A19" s="1" t="s">
        <v>22</v>
      </c>
      <c r="C19" s="41" t="n">
        <f aca="false">SUM(C5:C18)</f>
        <v>372</v>
      </c>
      <c r="D19" s="133" t="n">
        <f aca="false">SUM(D5:D18)</f>
        <v>365.709</v>
      </c>
      <c r="E19" s="133" t="n">
        <f aca="false">SUM(E5:E18)</f>
        <v>375.16</v>
      </c>
      <c r="F19" s="17"/>
      <c r="G19" s="36"/>
      <c r="H19" s="23" t="n">
        <f aca="false">C19-C39</f>
        <v>-51.7</v>
      </c>
      <c r="I19" s="23" t="n">
        <f aca="false">D19-D39</f>
        <v>-54.369</v>
      </c>
      <c r="J19" s="23" t="n">
        <f aca="false">E19-E39</f>
        <v>-64.9850000000001</v>
      </c>
      <c r="K19" s="33"/>
      <c r="L19" s="33"/>
      <c r="M19" s="5"/>
      <c r="N19" s="5"/>
      <c r="O19" s="5"/>
    </row>
    <row r="20" customFormat="false" ht="15.25" hidden="false" customHeight="false" outlineLevel="0" collapsed="false">
      <c r="C20" s="43"/>
      <c r="D20" s="134"/>
      <c r="E20" s="135"/>
      <c r="F20" s="44"/>
      <c r="G20" s="136"/>
      <c r="H20" s="45"/>
      <c r="I20" s="29"/>
      <c r="J20" s="33"/>
      <c r="K20" s="33"/>
      <c r="L20" s="33"/>
      <c r="M20" s="5"/>
      <c r="N20" s="5"/>
      <c r="O20" s="5"/>
    </row>
    <row r="21" customFormat="false" ht="15.25" hidden="false" customHeight="false" outlineLevel="0" collapsed="false">
      <c r="C21" s="43"/>
      <c r="D21" s="134"/>
      <c r="E21" s="135"/>
      <c r="F21" s="44"/>
      <c r="G21" s="136"/>
      <c r="H21" s="45"/>
      <c r="I21" s="29"/>
      <c r="J21" s="33"/>
      <c r="K21" s="33"/>
      <c r="L21" s="33"/>
      <c r="M21" s="5"/>
      <c r="N21" s="5"/>
      <c r="O21" s="5"/>
    </row>
    <row r="22" customFormat="false" ht="15.25" hidden="false" customHeight="false" outlineLevel="0" collapsed="false">
      <c r="A22" s="14" t="s">
        <v>23</v>
      </c>
      <c r="B22" s="46"/>
      <c r="C22" s="43"/>
      <c r="D22" s="134"/>
      <c r="E22" s="135"/>
      <c r="F22" s="47"/>
      <c r="G22" s="5"/>
      <c r="H22" s="45"/>
      <c r="I22" s="29"/>
      <c r="J22" s="33"/>
      <c r="K22" s="33"/>
      <c r="L22" s="33"/>
      <c r="M22" s="5"/>
      <c r="N22" s="5"/>
      <c r="O22" s="5"/>
    </row>
    <row r="23" customFormat="false" ht="15.25" hidden="false" customHeight="false" outlineLevel="0" collapsed="false">
      <c r="A23" s="34" t="n">
        <v>4015</v>
      </c>
      <c r="B23" s="32" t="s">
        <v>24</v>
      </c>
      <c r="C23" s="27" t="n">
        <v>2</v>
      </c>
      <c r="D23" s="137" t="n">
        <f aca="false">16.59+23.1</f>
        <v>39.69</v>
      </c>
      <c r="E23" s="124" t="n">
        <v>18</v>
      </c>
      <c r="F23" s="17"/>
      <c r="G23" s="36"/>
      <c r="H23" s="45"/>
      <c r="I23" s="5"/>
      <c r="J23" s="133"/>
      <c r="K23" s="33"/>
      <c r="L23" s="33"/>
      <c r="M23" s="5"/>
      <c r="N23" s="5"/>
      <c r="O23" s="5"/>
    </row>
    <row r="24" customFormat="false" ht="15.25" hidden="false" customHeight="false" outlineLevel="0" collapsed="false">
      <c r="A24" s="31" t="n">
        <v>4020</v>
      </c>
      <c r="B24" s="32" t="s">
        <v>25</v>
      </c>
      <c r="C24" s="27" t="n">
        <v>3</v>
      </c>
      <c r="D24" s="138" t="n">
        <v>2.156</v>
      </c>
      <c r="E24" s="124" t="n">
        <v>2</v>
      </c>
      <c r="F24" s="17"/>
      <c r="G24" s="36"/>
      <c r="H24" s="45"/>
      <c r="I24" s="5"/>
      <c r="J24" s="33"/>
      <c r="K24" s="33"/>
      <c r="L24" s="33"/>
      <c r="M24" s="5"/>
      <c r="N24" s="5"/>
      <c r="O24" s="5"/>
    </row>
    <row r="25" customFormat="false" ht="15.25" hidden="false" customHeight="false" outlineLevel="0" collapsed="false">
      <c r="A25" s="31" t="n">
        <v>4030</v>
      </c>
      <c r="B25" s="32" t="s">
        <v>26</v>
      </c>
      <c r="C25" s="27" t="n">
        <v>5</v>
      </c>
      <c r="D25" s="138"/>
      <c r="E25" s="124" t="n">
        <v>5</v>
      </c>
      <c r="F25" s="17"/>
      <c r="G25" s="36"/>
      <c r="H25" s="45"/>
      <c r="I25" s="5"/>
      <c r="J25" s="33"/>
      <c r="K25" s="33"/>
      <c r="L25" s="33"/>
      <c r="M25" s="5"/>
      <c r="N25" s="5"/>
      <c r="O25" s="5"/>
    </row>
    <row r="26" customFormat="false" ht="15.25" hidden="false" customHeight="false" outlineLevel="0" collapsed="false">
      <c r="A26" s="31" t="n">
        <v>4132</v>
      </c>
      <c r="B26" s="32" t="s">
        <v>28</v>
      </c>
      <c r="C26" s="27"/>
      <c r="D26" s="138"/>
      <c r="E26" s="124"/>
      <c r="F26" s="17"/>
      <c r="G26" s="36"/>
      <c r="H26" s="49"/>
      <c r="I26" s="139"/>
      <c r="J26" s="33"/>
      <c r="K26" s="33"/>
      <c r="L26" s="33"/>
      <c r="M26" s="5"/>
      <c r="N26" s="5"/>
      <c r="O26" s="5"/>
    </row>
    <row r="27" customFormat="false" ht="15.25" hidden="false" customHeight="false" outlineLevel="0" collapsed="false">
      <c r="A27" s="31" t="n">
        <v>4171</v>
      </c>
      <c r="B27" s="32" t="s">
        <v>10</v>
      </c>
      <c r="C27" s="27" t="n">
        <v>35.8</v>
      </c>
      <c r="D27" s="138" t="n">
        <v>26.04</v>
      </c>
      <c r="E27" s="124" t="n">
        <v>25.88</v>
      </c>
      <c r="F27" s="17"/>
      <c r="G27" s="36"/>
      <c r="H27" s="45"/>
      <c r="I27" s="5"/>
      <c r="J27" s="33"/>
      <c r="K27" s="33"/>
      <c r="L27" s="33"/>
      <c r="M27" s="5"/>
      <c r="N27" s="5"/>
      <c r="O27" s="5"/>
    </row>
    <row r="28" customFormat="false" ht="15.25" hidden="false" customHeight="false" outlineLevel="0" collapsed="false">
      <c r="A28" s="31" t="n">
        <v>4172</v>
      </c>
      <c r="B28" s="32" t="s">
        <v>12</v>
      </c>
      <c r="C28" s="27" t="n">
        <v>74.4</v>
      </c>
      <c r="D28" s="138" t="n">
        <v>67.714</v>
      </c>
      <c r="E28" s="124" t="n">
        <v>75.9</v>
      </c>
      <c r="F28" s="17"/>
      <c r="G28" s="36"/>
      <c r="H28" s="50"/>
      <c r="I28" s="5"/>
      <c r="J28" s="33"/>
      <c r="K28" s="33"/>
      <c r="L28" s="33"/>
      <c r="M28" s="5"/>
      <c r="N28" s="5"/>
      <c r="O28" s="5"/>
    </row>
    <row r="29" customFormat="false" ht="15.25" hidden="false" customHeight="false" outlineLevel="0" collapsed="false">
      <c r="A29" s="31" t="n">
        <v>4173</v>
      </c>
      <c r="B29" s="32" t="s">
        <v>13</v>
      </c>
      <c r="C29" s="27" t="n">
        <v>42.8</v>
      </c>
      <c r="D29" s="138" t="n">
        <v>19.291</v>
      </c>
      <c r="E29" s="124" t="n">
        <v>40.285</v>
      </c>
      <c r="F29" s="17"/>
      <c r="G29" s="36"/>
      <c r="H29" s="50"/>
      <c r="I29" s="5"/>
      <c r="J29" s="33"/>
      <c r="K29" s="33"/>
      <c r="L29" s="33"/>
      <c r="M29" s="5"/>
      <c r="N29" s="5"/>
      <c r="O29" s="5"/>
    </row>
    <row r="30" customFormat="false" ht="15.25" hidden="false" customHeight="false" outlineLevel="0" collapsed="false">
      <c r="A30" s="31" t="n">
        <v>4174</v>
      </c>
      <c r="B30" s="32" t="s">
        <v>14</v>
      </c>
      <c r="C30" s="27" t="n">
        <v>77.4</v>
      </c>
      <c r="D30" s="138" t="n">
        <v>84.539</v>
      </c>
      <c r="E30" s="124" t="n">
        <v>107.28</v>
      </c>
      <c r="F30" s="17"/>
      <c r="G30" s="36"/>
      <c r="H30" s="45"/>
      <c r="I30" s="5"/>
      <c r="J30" s="33"/>
      <c r="K30" s="33"/>
      <c r="L30" s="33"/>
      <c r="M30" s="5"/>
      <c r="N30" s="5"/>
      <c r="O30" s="5"/>
    </row>
    <row r="31" customFormat="false" ht="15.25" hidden="false" customHeight="false" outlineLevel="0" collapsed="false">
      <c r="A31" s="34" t="s">
        <v>118</v>
      </c>
      <c r="B31" s="32" t="s">
        <v>29</v>
      </c>
      <c r="C31" s="27" t="n">
        <v>79.8</v>
      </c>
      <c r="D31" s="138" t="n">
        <v>110.269</v>
      </c>
      <c r="E31" s="124" t="n">
        <v>79.8</v>
      </c>
      <c r="F31" s="17"/>
      <c r="G31" s="36"/>
      <c r="H31" s="45"/>
      <c r="I31" s="5"/>
      <c r="J31" s="33"/>
      <c r="K31" s="33"/>
      <c r="L31" s="33"/>
      <c r="M31" s="5"/>
      <c r="N31" s="5"/>
      <c r="O31" s="5"/>
    </row>
    <row r="32" customFormat="false" ht="15.25" hidden="false" customHeight="false" outlineLevel="0" collapsed="false">
      <c r="A32" s="31" t="n">
        <v>4177</v>
      </c>
      <c r="B32" s="32" t="s">
        <v>16</v>
      </c>
      <c r="C32" s="27" t="n">
        <v>16.5</v>
      </c>
      <c r="D32" s="138" t="n">
        <v>14.269</v>
      </c>
      <c r="E32" s="124" t="n">
        <v>25</v>
      </c>
      <c r="F32" s="17"/>
      <c r="G32" s="36"/>
      <c r="H32" s="50"/>
      <c r="I32" s="5"/>
      <c r="J32" s="33"/>
      <c r="K32" s="36" t="s">
        <v>119</v>
      </c>
      <c r="L32" s="33"/>
      <c r="M32" s="5"/>
      <c r="N32" s="5"/>
      <c r="O32" s="5"/>
    </row>
    <row r="33" customFormat="false" ht="15.25" hidden="false" customHeight="false" outlineLevel="0" collapsed="false">
      <c r="A33" s="31" t="n">
        <v>4178</v>
      </c>
      <c r="B33" s="32" t="s">
        <v>18</v>
      </c>
      <c r="C33" s="27" t="n">
        <v>76</v>
      </c>
      <c r="D33" s="138" t="n">
        <v>51.797</v>
      </c>
      <c r="E33" s="124" t="n">
        <v>50</v>
      </c>
      <c r="F33" s="17"/>
      <c r="G33" s="36"/>
      <c r="H33" s="50"/>
      <c r="I33" s="5"/>
      <c r="J33" s="33"/>
      <c r="K33" s="5" t="s">
        <v>120</v>
      </c>
      <c r="L33" s="33"/>
      <c r="M33" s="5"/>
      <c r="N33" s="5"/>
      <c r="O33" s="5"/>
    </row>
    <row r="34" customFormat="false" ht="15.25" hidden="false" customHeight="false" outlineLevel="0" collapsed="false">
      <c r="A34" s="34" t="n">
        <v>4180</v>
      </c>
      <c r="B34" s="32" t="s">
        <v>32</v>
      </c>
      <c r="C34" s="27" t="n">
        <v>1</v>
      </c>
      <c r="D34" s="138" t="n">
        <v>4.313</v>
      </c>
      <c r="E34" s="124" t="n">
        <v>1</v>
      </c>
      <c r="F34" s="17"/>
      <c r="G34" s="140"/>
      <c r="H34" s="50"/>
      <c r="I34" s="5"/>
      <c r="J34" s="33"/>
      <c r="K34" s="33"/>
      <c r="L34" s="33"/>
      <c r="M34" s="5"/>
      <c r="N34" s="5"/>
      <c r="O34" s="5"/>
    </row>
    <row r="35" customFormat="false" ht="15.25" hidden="false" customHeight="false" outlineLevel="0" collapsed="false">
      <c r="A35" s="34" t="n">
        <v>7610</v>
      </c>
      <c r="B35" s="32" t="s">
        <v>121</v>
      </c>
      <c r="C35" s="27" t="n">
        <v>10</v>
      </c>
      <c r="D35" s="138"/>
      <c r="E35" s="124" t="n">
        <v>10</v>
      </c>
      <c r="F35" s="51"/>
      <c r="G35" s="140"/>
      <c r="H35" s="50"/>
      <c r="I35" s="5"/>
      <c r="J35" s="37"/>
      <c r="K35" s="52" t="s">
        <v>122</v>
      </c>
      <c r="L35" s="33"/>
      <c r="M35" s="5"/>
      <c r="N35" s="5"/>
      <c r="O35" s="5"/>
    </row>
    <row r="36" customFormat="false" ht="15.25" hidden="false" customHeight="false" outlineLevel="0" collapsed="false">
      <c r="A36" s="31"/>
      <c r="B36" s="32"/>
      <c r="C36" s="27"/>
      <c r="D36" s="138"/>
      <c r="E36" s="141"/>
      <c r="F36" s="51"/>
      <c r="G36" s="140"/>
      <c r="H36" s="50"/>
      <c r="I36" s="5"/>
      <c r="J36" s="37"/>
      <c r="K36" s="33"/>
      <c r="L36" s="33"/>
      <c r="M36" s="5"/>
      <c r="N36" s="5"/>
      <c r="O36" s="5"/>
    </row>
    <row r="37" customFormat="false" ht="15.25" hidden="false" customHeight="false" outlineLevel="0" collapsed="false">
      <c r="F37" s="17"/>
      <c r="G37" s="36"/>
      <c r="H37" s="50"/>
      <c r="I37" s="5"/>
      <c r="J37" s="33"/>
      <c r="K37" s="33"/>
      <c r="L37" s="33"/>
      <c r="M37" s="5"/>
      <c r="N37" s="5"/>
      <c r="O37" s="5"/>
    </row>
    <row r="38" customFormat="false" ht="15.25" hidden="false" customHeight="false" outlineLevel="0" collapsed="false">
      <c r="A38" s="38"/>
      <c r="B38" s="39"/>
      <c r="C38" s="40"/>
      <c r="D38" s="131"/>
      <c r="E38" s="132"/>
      <c r="F38" s="17"/>
      <c r="G38" s="36"/>
      <c r="H38" s="50"/>
      <c r="I38" s="29"/>
      <c r="J38" s="33"/>
      <c r="K38" s="33"/>
      <c r="L38" s="33"/>
      <c r="M38" s="5"/>
      <c r="N38" s="5"/>
      <c r="O38" s="5"/>
    </row>
    <row r="39" customFormat="false" ht="15.25" hidden="false" customHeight="false" outlineLevel="0" collapsed="false">
      <c r="A39" s="1" t="s">
        <v>34</v>
      </c>
      <c r="C39" s="53" t="n">
        <f aca="false">SUM(C23:C38)</f>
        <v>423.7</v>
      </c>
      <c r="D39" s="133" t="n">
        <f aca="false">SUM(D23:D38)</f>
        <v>420.078</v>
      </c>
      <c r="E39" s="133" t="n">
        <f aca="false">SUM(E23:E38)</f>
        <v>440.145</v>
      </c>
      <c r="F39" s="51"/>
      <c r="G39" s="140"/>
      <c r="H39" s="50"/>
      <c r="I39" s="29"/>
      <c r="J39" s="33"/>
      <c r="K39" s="33"/>
      <c r="L39" s="33"/>
      <c r="M39" s="5"/>
      <c r="N39" s="5"/>
      <c r="O39" s="5"/>
    </row>
    <row r="40" customFormat="false" ht="15.25" hidden="false" customHeight="false" outlineLevel="0" collapsed="false">
      <c r="C40" s="53"/>
      <c r="D40" s="55"/>
      <c r="E40" s="142"/>
      <c r="F40" s="44"/>
      <c r="G40" s="136"/>
      <c r="H40" s="45"/>
      <c r="I40" s="29"/>
      <c r="J40" s="33"/>
      <c r="K40" s="33"/>
      <c r="L40" s="33"/>
      <c r="M40" s="5"/>
      <c r="N40" s="5"/>
      <c r="O40" s="5"/>
    </row>
    <row r="41" customFormat="false" ht="15.25" hidden="false" customHeight="false" outlineLevel="0" collapsed="false">
      <c r="C41" s="53"/>
      <c r="D41" s="55"/>
      <c r="E41" s="142"/>
      <c r="F41" s="44"/>
      <c r="G41" s="136"/>
      <c r="H41" s="45"/>
      <c r="I41" s="29"/>
      <c r="J41" s="33"/>
      <c r="K41" s="33"/>
      <c r="L41" s="33"/>
      <c r="M41" s="5"/>
      <c r="N41" s="5"/>
      <c r="O41" s="5"/>
    </row>
    <row r="42" customFormat="false" ht="15.25" hidden="false" customHeight="false" outlineLevel="0" collapsed="false">
      <c r="C42" s="3" t="s">
        <v>5</v>
      </c>
      <c r="D42" s="10" t="s">
        <v>6</v>
      </c>
      <c r="E42" s="143" t="s">
        <v>5</v>
      </c>
      <c r="F42" s="44"/>
      <c r="G42" s="136"/>
      <c r="H42" s="45"/>
      <c r="I42" s="5"/>
      <c r="J42" s="33"/>
      <c r="K42" s="55"/>
      <c r="L42" s="55"/>
      <c r="M42" s="5"/>
      <c r="N42" s="5"/>
      <c r="O42" s="5"/>
    </row>
    <row r="43" customFormat="false" ht="15.25" hidden="false" customHeight="false" outlineLevel="0" collapsed="false">
      <c r="C43" s="3" t="n">
        <v>2016</v>
      </c>
      <c r="D43" s="15" t="n">
        <v>2015</v>
      </c>
      <c r="E43" s="15" t="n">
        <v>2015</v>
      </c>
      <c r="F43" s="44"/>
      <c r="G43" s="136"/>
      <c r="H43" s="45"/>
      <c r="I43" s="5"/>
      <c r="J43" s="53"/>
      <c r="K43" s="55"/>
      <c r="L43" s="55"/>
      <c r="M43" s="5"/>
      <c r="N43" s="5"/>
      <c r="O43" s="5"/>
    </row>
    <row r="44" customFormat="false" ht="15.25" hidden="false" customHeight="false" outlineLevel="0" collapsed="false">
      <c r="A44" s="56" t="s">
        <v>35</v>
      </c>
      <c r="B44" s="57"/>
      <c r="C44" s="58" t="n">
        <f aca="false">+C19-C39</f>
        <v>-51.7</v>
      </c>
      <c r="D44" s="144" t="n">
        <f aca="false">+D19-D39</f>
        <v>-54.369</v>
      </c>
      <c r="E44" s="145" t="n">
        <f aca="false">SUM(E19-E39)</f>
        <v>-64.9850000000001</v>
      </c>
      <c r="F44" s="47"/>
      <c r="G44" s="5"/>
      <c r="H44" s="45"/>
      <c r="I44" s="5"/>
      <c r="J44" s="53"/>
      <c r="K44" s="5" t="s">
        <v>123</v>
      </c>
      <c r="L44" s="55"/>
      <c r="M44" s="5"/>
      <c r="N44" s="5"/>
      <c r="O44" s="5"/>
    </row>
    <row r="45" customFormat="false" ht="15.25" hidden="false" customHeight="false" outlineLevel="0" collapsed="false">
      <c r="D45" s="146"/>
      <c r="E45" s="135"/>
      <c r="F45" s="44"/>
      <c r="G45" s="136"/>
      <c r="H45" s="45"/>
      <c r="I45" s="5"/>
      <c r="J45" s="61"/>
      <c r="K45" s="5" t="s">
        <v>124</v>
      </c>
      <c r="L45" s="24"/>
      <c r="M45" s="5"/>
      <c r="N45" s="5"/>
      <c r="O45" s="5"/>
    </row>
    <row r="46" customFormat="false" ht="15.25" hidden="false" customHeight="false" outlineLevel="0" collapsed="false">
      <c r="A46" s="60" t="s">
        <v>36</v>
      </c>
      <c r="B46" s="5"/>
      <c r="C46" s="61"/>
      <c r="D46" s="147"/>
      <c r="E46" s="135"/>
      <c r="F46" s="44"/>
      <c r="G46" s="136"/>
      <c r="H46" s="45"/>
      <c r="I46" s="5"/>
      <c r="J46" s="61"/>
      <c r="L46" s="15"/>
      <c r="M46" s="5"/>
      <c r="N46" s="5"/>
      <c r="O46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2:M132"/>
  <sheetViews>
    <sheetView windowProtection="false"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H15" activeCellId="0" sqref="H15"/>
    </sheetView>
  </sheetViews>
  <sheetFormatPr defaultRowHeight="14.05"/>
  <cols>
    <col collapsed="false" hidden="false" max="2" min="1" style="2" width="8.70918367346939"/>
    <col collapsed="false" hidden="false" max="3" min="3" style="2" width="10.0510204081633"/>
    <col collapsed="false" hidden="false" max="4" min="4" style="2" width="97.2040816326531"/>
    <col collapsed="false" hidden="false" max="5" min="5" style="2" width="14.7857142857143"/>
    <col collapsed="false" hidden="false" max="6" min="6" style="2" width="10.9183673469388"/>
    <col collapsed="false" hidden="false" max="7" min="7" style="2" width="8.17857142857143"/>
    <col collapsed="false" hidden="false" max="8" min="8" style="2" width="8.70918367346939"/>
    <col collapsed="false" hidden="false" max="9" min="9" style="2" width="11.7704081632653"/>
    <col collapsed="false" hidden="false" max="1025" min="10" style="2" width="8.70918367346939"/>
  </cols>
  <sheetData>
    <row r="2" customFormat="false" ht="22.45" hidden="false" customHeight="false" outlineLevel="0" collapsed="false">
      <c r="D2" s="62" t="s">
        <v>125</v>
      </c>
      <c r="E2" s="2" t="s">
        <v>38</v>
      </c>
      <c r="F2" s="63"/>
    </row>
    <row r="3" customFormat="false" ht="14.05" hidden="false" customHeight="false" outlineLevel="0" collapsed="false">
      <c r="D3" s="64" t="s">
        <v>39</v>
      </c>
      <c r="E3" s="63"/>
      <c r="F3" s="63"/>
      <c r="I3" s="65" t="s">
        <v>40</v>
      </c>
      <c r="K3" s="66" t="s">
        <v>41</v>
      </c>
      <c r="L3" s="67"/>
      <c r="M3" s="2" t="s">
        <v>42</v>
      </c>
    </row>
    <row r="4" customFormat="false" ht="14.05" hidden="false" customHeight="false" outlineLevel="0" collapsed="false">
      <c r="D4" s="64" t="s">
        <v>43</v>
      </c>
      <c r="E4" s="63"/>
      <c r="F4" s="63"/>
      <c r="I4" s="65"/>
      <c r="K4" s="67"/>
      <c r="L4" s="67"/>
    </row>
    <row r="5" customFormat="false" ht="14.05" hidden="false" customHeight="false" outlineLevel="0" collapsed="false">
      <c r="E5" s="63"/>
      <c r="F5" s="63"/>
      <c r="I5" s="65"/>
      <c r="K5" s="67"/>
      <c r="L5" s="67"/>
    </row>
    <row r="6" customFormat="false" ht="14.05" hidden="false" customHeight="false" outlineLevel="0" collapsed="false">
      <c r="E6" s="63"/>
      <c r="F6" s="63"/>
      <c r="G6" s="5"/>
      <c r="I6" s="65"/>
      <c r="K6" s="67"/>
      <c r="L6" s="67"/>
    </row>
    <row r="7" customFormat="false" ht="19.4" hidden="false" customHeight="false" outlineLevel="0" collapsed="false">
      <c r="D7" s="68" t="s">
        <v>126</v>
      </c>
      <c r="E7" s="63"/>
      <c r="F7" s="63"/>
      <c r="I7" s="65"/>
      <c r="K7" s="67"/>
      <c r="L7" s="67"/>
    </row>
    <row r="8" customFormat="false" ht="14.05" hidden="false" customHeight="false" outlineLevel="0" collapsed="false">
      <c r="E8" s="63"/>
      <c r="F8" s="63"/>
      <c r="I8" s="65"/>
      <c r="K8" s="67"/>
      <c r="L8" s="67"/>
    </row>
    <row r="9" customFormat="false" ht="17.65" hidden="false" customHeight="false" outlineLevel="0" collapsed="false">
      <c r="C9" s="69" t="s">
        <v>45</v>
      </c>
      <c r="D9" s="70" t="s">
        <v>46</v>
      </c>
      <c r="E9" s="71" t="s">
        <v>47</v>
      </c>
      <c r="F9" s="71" t="s">
        <v>48</v>
      </c>
      <c r="G9" s="72" t="s">
        <v>4</v>
      </c>
      <c r="I9" s="73" t="n">
        <f aca="false">G18</f>
        <v>-3997.6</v>
      </c>
      <c r="J9" s="2" t="n">
        <v>1500</v>
      </c>
      <c r="K9" s="66" t="s">
        <v>49</v>
      </c>
      <c r="L9" s="74" t="n">
        <v>36</v>
      </c>
    </row>
    <row r="10" customFormat="false" ht="14.05" hidden="false" customHeight="false" outlineLevel="0" collapsed="false">
      <c r="C10" s="75" t="n">
        <v>301</v>
      </c>
      <c r="D10" s="26" t="s">
        <v>127</v>
      </c>
      <c r="E10" s="76"/>
      <c r="F10" s="77" t="n">
        <v>-12000</v>
      </c>
      <c r="G10" s="78" t="n">
        <f aca="false">SUM(E10:F10)</f>
        <v>-12000</v>
      </c>
      <c r="I10" s="65"/>
      <c r="K10" s="67"/>
      <c r="L10" s="67"/>
    </row>
    <row r="11" customFormat="false" ht="14.05" hidden="false" customHeight="false" outlineLevel="0" collapsed="false">
      <c r="C11" s="75" t="n">
        <v>302</v>
      </c>
      <c r="D11" s="26" t="s">
        <v>51</v>
      </c>
      <c r="E11" s="79"/>
      <c r="F11" s="80" t="n">
        <v>3000</v>
      </c>
      <c r="G11" s="78" t="n">
        <f aca="false">SUM(E11:F11)</f>
        <v>3000</v>
      </c>
      <c r="H11" s="148" t="s">
        <v>128</v>
      </c>
      <c r="I11" s="65"/>
      <c r="K11" s="67"/>
      <c r="L11" s="67"/>
    </row>
    <row r="12" customFormat="false" ht="14.05" hidden="false" customHeight="false" outlineLevel="0" collapsed="false">
      <c r="C12" s="75" t="n">
        <v>303</v>
      </c>
      <c r="D12" s="26" t="s">
        <v>129</v>
      </c>
      <c r="E12" s="79"/>
      <c r="F12" s="79" t="n">
        <f aca="false">-L9*450*1.04</f>
        <v>-16848</v>
      </c>
      <c r="G12" s="78" t="n">
        <f aca="false">SUM(E12:F12)</f>
        <v>-16848</v>
      </c>
      <c r="I12" s="65"/>
      <c r="K12" s="67"/>
      <c r="L12" s="67"/>
    </row>
    <row r="13" customFormat="false" ht="14.05" hidden="false" customHeight="false" outlineLevel="0" collapsed="false">
      <c r="C13" s="81" t="n">
        <v>304</v>
      </c>
      <c r="D13" s="26" t="s">
        <v>130</v>
      </c>
      <c r="E13" s="79"/>
      <c r="F13" s="79" t="n">
        <f aca="false">-6*450*1.04</f>
        <v>-2808</v>
      </c>
      <c r="G13" s="82" t="n">
        <f aca="false">SUM(E13:F13)</f>
        <v>-2808</v>
      </c>
      <c r="I13" s="65"/>
      <c r="K13" s="67"/>
      <c r="L13" s="67"/>
    </row>
    <row r="14" customFormat="false" ht="14.05" hidden="false" customHeight="false" outlineLevel="0" collapsed="false">
      <c r="C14" s="81" t="n">
        <v>305</v>
      </c>
      <c r="D14" s="32" t="s">
        <v>131</v>
      </c>
      <c r="E14" s="83"/>
      <c r="F14" s="83" t="n">
        <f aca="false">-(L9*70*2+500)*1.04</f>
        <v>-5761.6</v>
      </c>
      <c r="G14" s="84" t="n">
        <f aca="false">SUM(E14:F14)</f>
        <v>-5761.6</v>
      </c>
      <c r="I14" s="65"/>
      <c r="K14" s="67"/>
      <c r="L14" s="67"/>
    </row>
    <row r="15" customFormat="false" ht="14.05" hidden="false" customHeight="false" outlineLevel="0" collapsed="false">
      <c r="C15" s="81" t="n">
        <v>306</v>
      </c>
      <c r="D15" s="32" t="s">
        <v>132</v>
      </c>
      <c r="E15" s="83" t="n">
        <f aca="false">L9*M17</f>
        <v>31860</v>
      </c>
      <c r="F15" s="83"/>
      <c r="G15" s="85" t="n">
        <f aca="false">SUM(E15:F15)</f>
        <v>31860</v>
      </c>
      <c r="I15" s="65"/>
      <c r="K15" s="67"/>
      <c r="L15" s="67"/>
    </row>
    <row r="16" customFormat="false" ht="14.05" hidden="false" customHeight="false" outlineLevel="0" collapsed="false">
      <c r="C16" s="86" t="n">
        <v>307</v>
      </c>
      <c r="D16" s="32" t="s">
        <v>56</v>
      </c>
      <c r="E16" s="83" t="n">
        <v>0</v>
      </c>
      <c r="F16" s="83"/>
      <c r="G16" s="85" t="n">
        <f aca="false">SUM(E16:F16)</f>
        <v>0</v>
      </c>
      <c r="I16" s="65"/>
      <c r="K16" s="67"/>
      <c r="L16" s="67"/>
    </row>
    <row r="17" customFormat="false" ht="14.05" hidden="false" customHeight="false" outlineLevel="0" collapsed="false">
      <c r="C17" s="86" t="n">
        <v>308</v>
      </c>
      <c r="D17" s="39" t="s">
        <v>133</v>
      </c>
      <c r="E17" s="87"/>
      <c r="F17" s="87" t="n">
        <f aca="false">-(20*L9*2)</f>
        <v>-1440</v>
      </c>
      <c r="G17" s="88" t="n">
        <f aca="false">SUM(E17:F17)</f>
        <v>-1440</v>
      </c>
      <c r="I17" s="65"/>
      <c r="K17" s="66" t="s">
        <v>58</v>
      </c>
      <c r="L17" s="89" t="n">
        <f aca="false">(ABS(SUM(F10:F17))-I9)/L9</f>
        <v>1107.08888888889</v>
      </c>
      <c r="M17" s="30" t="n">
        <v>885</v>
      </c>
    </row>
    <row r="18" customFormat="false" ht="14.05" hidden="false" customHeight="false" outlineLevel="0" collapsed="false">
      <c r="D18" s="90"/>
      <c r="E18" s="91" t="n">
        <f aca="false">SUM(E10:E17)</f>
        <v>31860</v>
      </c>
      <c r="F18" s="91" t="n">
        <f aca="false">SUM(F10:F17)</f>
        <v>-35857.6</v>
      </c>
      <c r="G18" s="149" t="n">
        <f aca="false">SUM(G10:G17)</f>
        <v>-3997.6</v>
      </c>
      <c r="I18" s="65"/>
      <c r="K18" s="66" t="s">
        <v>59</v>
      </c>
      <c r="L18" s="93" t="n">
        <f aca="false">-(F14+F17)/L9</f>
        <v>200.044444444444</v>
      </c>
    </row>
    <row r="19" customFormat="false" ht="14.05" hidden="false" customHeight="false" outlineLevel="0" collapsed="false">
      <c r="E19" s="63"/>
      <c r="F19" s="63"/>
      <c r="I19" s="65"/>
      <c r="K19" s="67"/>
      <c r="L19" s="67"/>
    </row>
    <row r="20" customFormat="false" ht="14.05" hidden="false" customHeight="false" outlineLevel="0" collapsed="false">
      <c r="E20" s="63"/>
      <c r="F20" s="63"/>
      <c r="I20" s="65"/>
      <c r="K20" s="67"/>
      <c r="L20" s="67"/>
    </row>
    <row r="21" customFormat="false" ht="19.4" hidden="false" customHeight="false" outlineLevel="0" collapsed="false">
      <c r="D21" s="68" t="s">
        <v>134</v>
      </c>
      <c r="E21" s="63"/>
      <c r="F21" s="63"/>
      <c r="I21" s="65"/>
      <c r="K21" s="67"/>
      <c r="L21" s="67"/>
    </row>
    <row r="22" customFormat="false" ht="14.05" hidden="false" customHeight="false" outlineLevel="0" collapsed="false">
      <c r="E22" s="63"/>
      <c r="F22" s="63"/>
      <c r="I22" s="65"/>
      <c r="K22" s="67"/>
      <c r="L22" s="67"/>
    </row>
    <row r="23" customFormat="false" ht="17.65" hidden="false" customHeight="false" outlineLevel="0" collapsed="false">
      <c r="C23" s="69" t="s">
        <v>45</v>
      </c>
      <c r="D23" s="70" t="s">
        <v>46</v>
      </c>
      <c r="E23" s="71" t="s">
        <v>47</v>
      </c>
      <c r="F23" s="71" t="s">
        <v>48</v>
      </c>
      <c r="G23" s="72" t="s">
        <v>4</v>
      </c>
      <c r="I23" s="65" t="n">
        <f aca="false">G32</f>
        <v>-8400</v>
      </c>
      <c r="J23" s="2" t="n">
        <v>18500</v>
      </c>
      <c r="K23" s="66" t="s">
        <v>49</v>
      </c>
      <c r="L23" s="74" t="n">
        <v>60</v>
      </c>
    </row>
    <row r="24" customFormat="false" ht="14.05" hidden="false" customHeight="false" outlineLevel="0" collapsed="false">
      <c r="C24" s="75" t="n">
        <v>401</v>
      </c>
      <c r="D24" s="26" t="s">
        <v>61</v>
      </c>
      <c r="E24" s="79"/>
      <c r="F24" s="94" t="n">
        <v>-14000</v>
      </c>
      <c r="G24" s="95" t="n">
        <f aca="false">SUM(E24:F24)</f>
        <v>-14000</v>
      </c>
      <c r="I24" s="65"/>
      <c r="K24" s="67"/>
      <c r="L24" s="67"/>
    </row>
    <row r="25" customFormat="false" ht="14.05" hidden="false" customHeight="false" outlineLevel="0" collapsed="false">
      <c r="C25" s="75" t="n">
        <v>402</v>
      </c>
      <c r="D25" s="26" t="s">
        <v>62</v>
      </c>
      <c r="E25" s="79"/>
      <c r="F25" s="79" t="n">
        <v>-2500</v>
      </c>
      <c r="G25" s="96" t="n">
        <f aca="false">SUM(E25:F25)</f>
        <v>-2500</v>
      </c>
      <c r="I25" s="65"/>
      <c r="K25" s="67"/>
      <c r="L25" s="67"/>
    </row>
    <row r="26" customFormat="false" ht="14.05" hidden="false" customHeight="false" outlineLevel="0" collapsed="false">
      <c r="C26" s="81" t="n">
        <v>403</v>
      </c>
      <c r="D26" s="32" t="s">
        <v>135</v>
      </c>
      <c r="E26" s="83"/>
      <c r="F26" s="97" t="n">
        <f aca="false">-700*60</f>
        <v>-42000</v>
      </c>
      <c r="G26" s="98" t="n">
        <f aca="false">SUM(E26:F26)</f>
        <v>-42000</v>
      </c>
      <c r="I26" s="65"/>
      <c r="K26" s="67"/>
      <c r="L26" s="67"/>
    </row>
    <row r="27" customFormat="false" ht="14.05" hidden="false" customHeight="false" outlineLevel="0" collapsed="false">
      <c r="C27" s="81" t="n">
        <v>404</v>
      </c>
      <c r="D27" s="32" t="s">
        <v>64</v>
      </c>
      <c r="E27" s="83"/>
      <c r="F27" s="83" t="n">
        <f aca="false">-700*6</f>
        <v>-4200</v>
      </c>
      <c r="G27" s="99" t="n">
        <f aca="false">SUM(E27:F27)</f>
        <v>-4200</v>
      </c>
      <c r="I27" s="65"/>
      <c r="K27" s="67"/>
      <c r="L27" s="67"/>
    </row>
    <row r="28" customFormat="false" ht="14.05" hidden="false" customHeight="false" outlineLevel="0" collapsed="false">
      <c r="C28" s="81" t="n">
        <v>405</v>
      </c>
      <c r="D28" s="32" t="s">
        <v>65</v>
      </c>
      <c r="E28" s="83"/>
      <c r="F28" s="83" t="n">
        <f aca="false">-L23*65*3</f>
        <v>-11700</v>
      </c>
      <c r="G28" s="98" t="n">
        <f aca="false">SUM(E28:F28)</f>
        <v>-11700</v>
      </c>
      <c r="I28" s="65"/>
      <c r="K28" s="67"/>
      <c r="L28" s="67"/>
    </row>
    <row r="29" customFormat="false" ht="14.05" hidden="false" customHeight="false" outlineLevel="0" collapsed="false">
      <c r="C29" s="81" t="n">
        <v>406</v>
      </c>
      <c r="D29" s="32" t="s">
        <v>136</v>
      </c>
      <c r="E29" s="83" t="n">
        <f aca="false">L23*M31</f>
        <v>66000</v>
      </c>
      <c r="F29" s="83"/>
      <c r="G29" s="98" t="n">
        <f aca="false">SUM(E29:F29)</f>
        <v>66000</v>
      </c>
      <c r="I29" s="65"/>
      <c r="K29" s="67"/>
      <c r="L29" s="67"/>
    </row>
    <row r="30" customFormat="false" ht="14.05" hidden="false" customHeight="false" outlineLevel="0" collapsed="false">
      <c r="C30" s="81" t="n">
        <v>407</v>
      </c>
      <c r="D30" s="32" t="s">
        <v>56</v>
      </c>
      <c r="E30" s="83" t="n">
        <v>0</v>
      </c>
      <c r="F30" s="83"/>
      <c r="G30" s="98" t="n">
        <f aca="false">SUM(E30:F30)</f>
        <v>0</v>
      </c>
      <c r="I30" s="65"/>
      <c r="K30" s="67"/>
      <c r="L30" s="67"/>
    </row>
    <row r="31" customFormat="false" ht="14.05" hidden="false" customHeight="false" outlineLevel="0" collapsed="false">
      <c r="C31" s="86"/>
      <c r="D31" s="100"/>
      <c r="E31" s="87"/>
      <c r="F31" s="87"/>
      <c r="G31" s="101"/>
      <c r="I31" s="65"/>
      <c r="K31" s="66" t="s">
        <v>58</v>
      </c>
      <c r="L31" s="89" t="n">
        <f aca="false">(ABS(SUM(F24:F31))-I23)/L23</f>
        <v>1380</v>
      </c>
      <c r="M31" s="2" t="n">
        <v>1100</v>
      </c>
    </row>
    <row r="32" customFormat="false" ht="14.05" hidden="false" customHeight="false" outlineLevel="0" collapsed="false">
      <c r="D32" s="90"/>
      <c r="E32" s="91" t="n">
        <f aca="false">SUM(E24:E31)</f>
        <v>66000</v>
      </c>
      <c r="F32" s="91" t="n">
        <f aca="false">SUM(F24:F31)</f>
        <v>-74400</v>
      </c>
      <c r="G32" s="150" t="n">
        <f aca="false">SUM(G24:G31)</f>
        <v>-8400</v>
      </c>
      <c r="I32" s="65"/>
      <c r="K32" s="66" t="s">
        <v>59</v>
      </c>
      <c r="L32" s="67" t="n">
        <v>195</v>
      </c>
    </row>
    <row r="33" customFormat="false" ht="14.05" hidden="false" customHeight="false" outlineLevel="0" collapsed="false">
      <c r="E33" s="63"/>
      <c r="F33" s="63"/>
      <c r="G33" s="5"/>
      <c r="I33" s="65"/>
      <c r="K33" s="67"/>
      <c r="L33" s="67"/>
    </row>
    <row r="34" customFormat="false" ht="14.05" hidden="false" customHeight="false" outlineLevel="0" collapsed="false">
      <c r="E34" s="63"/>
      <c r="F34" s="63"/>
      <c r="I34" s="65"/>
      <c r="K34" s="67"/>
      <c r="L34" s="67"/>
    </row>
    <row r="35" customFormat="false" ht="19.4" hidden="false" customHeight="false" outlineLevel="0" collapsed="false">
      <c r="D35" s="68" t="s">
        <v>137</v>
      </c>
      <c r="E35" s="63"/>
      <c r="F35" s="63"/>
      <c r="I35" s="65"/>
      <c r="K35" s="67"/>
      <c r="L35" s="67"/>
    </row>
    <row r="36" customFormat="false" ht="14.05" hidden="false" customHeight="false" outlineLevel="0" collapsed="false">
      <c r="E36" s="63"/>
      <c r="F36" s="63"/>
      <c r="I36" s="65"/>
      <c r="K36" s="67"/>
      <c r="L36" s="67"/>
    </row>
    <row r="37" customFormat="false" ht="17.65" hidden="false" customHeight="false" outlineLevel="0" collapsed="false">
      <c r="C37" s="69" t="s">
        <v>45</v>
      </c>
      <c r="D37" s="70" t="s">
        <v>46</v>
      </c>
      <c r="E37" s="71" t="s">
        <v>47</v>
      </c>
      <c r="F37" s="71" t="s">
        <v>48</v>
      </c>
      <c r="G37" s="72" t="s">
        <v>4</v>
      </c>
      <c r="I37" s="65" t="n">
        <f aca="false">G49</f>
        <v>-5985</v>
      </c>
      <c r="J37" s="2" t="n">
        <v>13500</v>
      </c>
      <c r="K37" s="66" t="s">
        <v>49</v>
      </c>
      <c r="L37" s="74" t="n">
        <v>40</v>
      </c>
    </row>
    <row r="38" customFormat="false" ht="14.05" hidden="false" customHeight="false" outlineLevel="0" collapsed="false">
      <c r="C38" s="75" t="n">
        <v>501</v>
      </c>
      <c r="D38" s="26" t="s">
        <v>138</v>
      </c>
      <c r="E38" s="103"/>
      <c r="F38" s="104" t="n">
        <v>-15000</v>
      </c>
      <c r="G38" s="95" t="n">
        <f aca="false">SUM(E38:F38)</f>
        <v>-15000</v>
      </c>
      <c r="I38" s="65"/>
      <c r="K38" s="67"/>
      <c r="L38" s="67"/>
    </row>
    <row r="39" customFormat="false" ht="14.05" hidden="false" customHeight="false" outlineLevel="0" collapsed="false">
      <c r="C39" s="75" t="n">
        <v>502</v>
      </c>
      <c r="D39" s="26" t="s">
        <v>62</v>
      </c>
      <c r="E39" s="103"/>
      <c r="F39" s="103" t="n">
        <v>-2500</v>
      </c>
      <c r="G39" s="95" t="n">
        <f aca="false">SUM(E39:F39)</f>
        <v>-2500</v>
      </c>
      <c r="I39" s="65"/>
      <c r="K39" s="67"/>
      <c r="L39" s="67"/>
    </row>
    <row r="40" customFormat="false" ht="14.05" hidden="false" customHeight="false" outlineLevel="0" collapsed="false">
      <c r="C40" s="75" t="n">
        <v>503</v>
      </c>
      <c r="D40" s="26" t="s">
        <v>139</v>
      </c>
      <c r="E40" s="103"/>
      <c r="F40" s="103" t="n">
        <f aca="false">-5000</f>
        <v>-5000</v>
      </c>
      <c r="G40" s="95" t="n">
        <f aca="false">SUM(E40:F40)</f>
        <v>-5000</v>
      </c>
      <c r="I40" s="65"/>
      <c r="K40" s="67"/>
      <c r="L40" s="67"/>
    </row>
    <row r="41" customFormat="false" ht="14.05" hidden="false" customHeight="false" outlineLevel="0" collapsed="false">
      <c r="C41" s="81" t="n">
        <v>504</v>
      </c>
      <c r="D41" s="105" t="s">
        <v>140</v>
      </c>
      <c r="E41" s="106"/>
      <c r="F41" s="106" t="n">
        <f aca="false">-250*45</f>
        <v>-11250</v>
      </c>
      <c r="G41" s="98" t="n">
        <f aca="false">SUM(E41:F41)</f>
        <v>-11250</v>
      </c>
      <c r="I41" s="65"/>
      <c r="K41" s="67"/>
      <c r="L41" s="67"/>
    </row>
    <row r="42" customFormat="false" ht="14.05" hidden="false" customHeight="false" outlineLevel="0" collapsed="false">
      <c r="C42" s="81" t="n">
        <v>506</v>
      </c>
      <c r="D42" s="105" t="s">
        <v>71</v>
      </c>
      <c r="E42" s="106"/>
      <c r="F42" s="106" t="n">
        <f aca="false">-20*4*2</f>
        <v>-160</v>
      </c>
      <c r="G42" s="98" t="n">
        <f aca="false">SUM(E42:F42)</f>
        <v>-160</v>
      </c>
      <c r="I42" s="65"/>
      <c r="K42" s="67"/>
      <c r="L42" s="67"/>
    </row>
    <row r="43" customFormat="false" ht="14.05" hidden="false" customHeight="false" outlineLevel="0" collapsed="false">
      <c r="C43" s="81" t="n">
        <v>507</v>
      </c>
      <c r="D43" s="105" t="s">
        <v>72</v>
      </c>
      <c r="E43" s="106"/>
      <c r="F43" s="106" t="n">
        <f aca="false">-250*4</f>
        <v>-1000</v>
      </c>
      <c r="G43" s="98" t="n">
        <f aca="false">SUM(E43:F43)</f>
        <v>-1000</v>
      </c>
      <c r="I43" s="65"/>
      <c r="K43" s="67"/>
      <c r="L43" s="67"/>
    </row>
    <row r="44" customFormat="false" ht="14.05" hidden="false" customHeight="false" outlineLevel="0" collapsed="false">
      <c r="C44" s="81" t="n">
        <v>508</v>
      </c>
      <c r="D44" s="105" t="s">
        <v>73</v>
      </c>
      <c r="E44" s="106"/>
      <c r="F44" s="106" t="n">
        <f aca="false">-175*45</f>
        <v>-7875</v>
      </c>
      <c r="G44" s="98" t="n">
        <f aca="false">SUM(E44:F44)</f>
        <v>-7875</v>
      </c>
      <c r="I44" s="65"/>
      <c r="K44" s="67"/>
      <c r="L44" s="67"/>
    </row>
    <row r="45" customFormat="false" ht="14.05" hidden="false" customHeight="false" outlineLevel="0" collapsed="false">
      <c r="C45" s="81" t="n">
        <v>509</v>
      </c>
      <c r="D45" s="105" t="s">
        <v>141</v>
      </c>
      <c r="E45" s="106" t="n">
        <f aca="false">L37*M48</f>
        <v>36800</v>
      </c>
      <c r="F45" s="106"/>
      <c r="G45" s="98" t="n">
        <f aca="false">SUM(E45:F45)</f>
        <v>36800</v>
      </c>
      <c r="I45" s="65"/>
      <c r="K45" s="67"/>
      <c r="L45" s="67"/>
    </row>
    <row r="46" customFormat="false" ht="14.05" hidden="false" customHeight="false" outlineLevel="0" collapsed="false">
      <c r="C46" s="81" t="n">
        <v>510</v>
      </c>
      <c r="D46" s="107" t="s">
        <v>75</v>
      </c>
      <c r="E46" s="106" t="n">
        <v>0</v>
      </c>
      <c r="F46" s="32"/>
      <c r="G46" s="108" t="n">
        <v>0</v>
      </c>
      <c r="I46" s="65"/>
      <c r="K46" s="67"/>
      <c r="L46" s="67"/>
    </row>
    <row r="47" customFormat="false" ht="14.05" hidden="false" customHeight="false" outlineLevel="0" collapsed="false">
      <c r="C47" s="109" t="n">
        <v>511</v>
      </c>
      <c r="D47" s="110" t="s">
        <v>76</v>
      </c>
      <c r="E47" s="111" t="n">
        <v>0</v>
      </c>
      <c r="F47" s="112"/>
      <c r="G47" s="113" t="n">
        <v>0</v>
      </c>
      <c r="I47" s="65"/>
      <c r="K47" s="67"/>
      <c r="L47" s="67"/>
    </row>
    <row r="48" customFormat="false" ht="14.05" hidden="false" customHeight="false" outlineLevel="0" collapsed="false">
      <c r="C48" s="86"/>
      <c r="D48" s="100"/>
      <c r="E48" s="114"/>
      <c r="F48" s="114"/>
      <c r="G48" s="101" t="n">
        <f aca="false">SUM(E48:F48)</f>
        <v>0</v>
      </c>
      <c r="I48" s="65"/>
      <c r="K48" s="66" t="s">
        <v>58</v>
      </c>
      <c r="L48" s="89" t="n">
        <f aca="false">(ABS(SUM(F38:F48))-I37)/L37</f>
        <v>1219.25</v>
      </c>
      <c r="M48" s="2" t="n">
        <v>920</v>
      </c>
    </row>
    <row r="49" customFormat="false" ht="14.05" hidden="false" customHeight="false" outlineLevel="0" collapsed="false">
      <c r="E49" s="63" t="n">
        <f aca="false">SUM(E38:E48)</f>
        <v>36800</v>
      </c>
      <c r="F49" s="63" t="n">
        <f aca="false">SUM(F38:F48)</f>
        <v>-42785</v>
      </c>
      <c r="G49" s="150" t="n">
        <f aca="false">SUM(G38:G48)</f>
        <v>-5985</v>
      </c>
      <c r="I49" s="65"/>
      <c r="K49" s="66" t="s">
        <v>77</v>
      </c>
      <c r="L49" s="67"/>
    </row>
    <row r="50" customFormat="false" ht="14.05" hidden="false" customHeight="false" outlineLevel="0" collapsed="false">
      <c r="E50" s="63"/>
      <c r="F50" s="63"/>
      <c r="G50" s="5"/>
      <c r="I50" s="65"/>
      <c r="K50" s="67"/>
      <c r="L50" s="67"/>
    </row>
    <row r="51" customFormat="false" ht="14.05" hidden="false" customHeight="false" outlineLevel="0" collapsed="false">
      <c r="E51" s="63"/>
      <c r="F51" s="63"/>
      <c r="I51" s="65"/>
      <c r="K51" s="67"/>
      <c r="L51" s="67"/>
    </row>
    <row r="52" customFormat="false" ht="19.4" hidden="false" customHeight="false" outlineLevel="0" collapsed="false">
      <c r="D52" s="68" t="s">
        <v>142</v>
      </c>
      <c r="E52" s="63"/>
      <c r="F52" s="63"/>
      <c r="I52" s="65"/>
      <c r="K52" s="67"/>
      <c r="L52" s="67"/>
    </row>
    <row r="53" customFormat="false" ht="14.05" hidden="false" customHeight="false" outlineLevel="0" collapsed="false">
      <c r="E53" s="63"/>
      <c r="F53" s="63"/>
      <c r="I53" s="65"/>
      <c r="K53" s="67"/>
      <c r="L53" s="67"/>
    </row>
    <row r="54" customFormat="false" ht="17.65" hidden="false" customHeight="false" outlineLevel="0" collapsed="false">
      <c r="C54" s="69" t="s">
        <v>45</v>
      </c>
      <c r="D54" s="70" t="s">
        <v>46</v>
      </c>
      <c r="E54" s="71" t="s">
        <v>47</v>
      </c>
      <c r="F54" s="71" t="s">
        <v>48</v>
      </c>
      <c r="G54" s="72" t="s">
        <v>4</v>
      </c>
      <c r="I54" s="65" t="n">
        <f aca="false">G67</f>
        <v>-29380</v>
      </c>
      <c r="J54" s="2" t="n">
        <v>13500</v>
      </c>
      <c r="K54" s="66" t="s">
        <v>49</v>
      </c>
      <c r="L54" s="74" t="n">
        <v>32</v>
      </c>
    </row>
    <row r="55" customFormat="false" ht="14.05" hidden="false" customHeight="false" outlineLevel="0" collapsed="false">
      <c r="C55" s="75" t="n">
        <v>601</v>
      </c>
      <c r="D55" s="26" t="s">
        <v>143</v>
      </c>
      <c r="E55" s="103"/>
      <c r="F55" s="104" t="n">
        <v>-15000</v>
      </c>
      <c r="G55" s="95" t="n">
        <f aca="false">SUM(E55:F55)</f>
        <v>-15000</v>
      </c>
      <c r="I55" s="65"/>
      <c r="K55" s="67"/>
      <c r="L55" s="67"/>
    </row>
    <row r="56" customFormat="false" ht="14.05" hidden="false" customHeight="false" outlineLevel="0" collapsed="false">
      <c r="C56" s="75" t="n">
        <v>602</v>
      </c>
      <c r="D56" s="26" t="s">
        <v>62</v>
      </c>
      <c r="E56" s="103"/>
      <c r="F56" s="103" t="n">
        <v>-2500</v>
      </c>
      <c r="G56" s="95" t="n">
        <f aca="false">SUM(E56:F56)</f>
        <v>-2500</v>
      </c>
      <c r="I56" s="65"/>
      <c r="K56" s="67"/>
      <c r="L56" s="67"/>
    </row>
    <row r="57" customFormat="false" ht="14.05" hidden="false" customHeight="false" outlineLevel="0" collapsed="false">
      <c r="C57" s="81" t="n">
        <v>603</v>
      </c>
      <c r="D57" s="32" t="s">
        <v>144</v>
      </c>
      <c r="E57" s="106"/>
      <c r="F57" s="106" t="n">
        <f aca="false">-800*32</f>
        <v>-25600</v>
      </c>
      <c r="G57" s="98" t="n">
        <f aca="false">SUM(E57:F57)</f>
        <v>-25600</v>
      </c>
      <c r="I57" s="65"/>
      <c r="K57" s="67"/>
      <c r="L57" s="67"/>
    </row>
    <row r="58" customFormat="false" ht="14.05" hidden="false" customHeight="false" outlineLevel="0" collapsed="false">
      <c r="C58" s="81" t="n">
        <v>604</v>
      </c>
      <c r="D58" s="32" t="s">
        <v>145</v>
      </c>
      <c r="E58" s="106"/>
      <c r="F58" s="106" t="n">
        <f aca="false">-800*4</f>
        <v>-3200</v>
      </c>
      <c r="G58" s="98" t="n">
        <f aca="false">SUM(E58:F58)</f>
        <v>-3200</v>
      </c>
      <c r="I58" s="65"/>
      <c r="K58" s="67"/>
      <c r="L58" s="67"/>
    </row>
    <row r="59" customFormat="false" ht="14.05" hidden="false" customHeight="false" outlineLevel="0" collapsed="false">
      <c r="C59" s="81" t="n">
        <v>605</v>
      </c>
      <c r="D59" s="32" t="s">
        <v>83</v>
      </c>
      <c r="E59" s="106"/>
      <c r="F59" s="106" t="n">
        <f aca="false">-610*L54</f>
        <v>-19520</v>
      </c>
      <c r="G59" s="98" t="n">
        <f aca="false">F59</f>
        <v>-19520</v>
      </c>
      <c r="I59" s="65"/>
      <c r="K59" s="67"/>
      <c r="L59" s="67"/>
    </row>
    <row r="60" customFormat="false" ht="14.05" hidden="false" customHeight="false" outlineLevel="0" collapsed="false">
      <c r="C60" s="109" t="n">
        <v>606</v>
      </c>
      <c r="D60" s="32" t="s">
        <v>84</v>
      </c>
      <c r="E60" s="106"/>
      <c r="F60" s="106" t="n">
        <f aca="false">-1000*8</f>
        <v>-8000</v>
      </c>
      <c r="G60" s="98" t="n">
        <f aca="false">F60</f>
        <v>-8000</v>
      </c>
      <c r="I60" s="65"/>
      <c r="K60" s="67"/>
      <c r="L60" s="67"/>
    </row>
    <row r="61" customFormat="false" ht="14.05" hidden="false" customHeight="false" outlineLevel="0" collapsed="false">
      <c r="C61" s="109" t="n">
        <v>607</v>
      </c>
      <c r="D61" s="32" t="s">
        <v>85</v>
      </c>
      <c r="E61" s="106"/>
      <c r="F61" s="106" t="n">
        <f aca="false">-390*4</f>
        <v>-1560</v>
      </c>
      <c r="G61" s="98" t="n">
        <f aca="false">SUM(E61:F61)</f>
        <v>-1560</v>
      </c>
      <c r="I61" s="65"/>
      <c r="K61" s="67"/>
      <c r="L61" s="67"/>
    </row>
    <row r="62" customFormat="false" ht="14.05" hidden="false" customHeight="false" outlineLevel="0" collapsed="false">
      <c r="C62" s="109" t="n">
        <v>608</v>
      </c>
      <c r="D62" s="32" t="s">
        <v>146</v>
      </c>
      <c r="E62" s="115" t="n">
        <f aca="false">L54*M66</f>
        <v>48000</v>
      </c>
      <c r="F62" s="106"/>
      <c r="G62" s="98" t="n">
        <f aca="false">SUM(E62:F62)</f>
        <v>48000</v>
      </c>
      <c r="I62" s="65"/>
      <c r="K62" s="67"/>
      <c r="L62" s="67"/>
    </row>
    <row r="63" customFormat="false" ht="14.05" hidden="false" customHeight="false" outlineLevel="0" collapsed="false">
      <c r="C63" s="109" t="n">
        <v>609</v>
      </c>
      <c r="D63" s="110" t="s">
        <v>87</v>
      </c>
      <c r="E63" s="112" t="n">
        <v>0</v>
      </c>
      <c r="F63" s="112"/>
      <c r="G63" s="113"/>
      <c r="I63" s="65"/>
      <c r="K63" s="67"/>
      <c r="L63" s="67"/>
    </row>
    <row r="64" customFormat="false" ht="14.05" hidden="false" customHeight="false" outlineLevel="0" collapsed="false">
      <c r="C64" s="109"/>
      <c r="D64" s="110"/>
      <c r="E64" s="111"/>
      <c r="F64" s="112"/>
      <c r="G64" s="113"/>
      <c r="I64" s="65"/>
      <c r="K64" s="67"/>
      <c r="L64" s="67"/>
    </row>
    <row r="65" customFormat="false" ht="14.05" hidden="false" customHeight="false" outlineLevel="0" collapsed="false">
      <c r="C65" s="109"/>
      <c r="D65" s="110"/>
      <c r="E65" s="111"/>
      <c r="F65" s="112"/>
      <c r="G65" s="113"/>
      <c r="I65" s="65"/>
      <c r="K65" s="67"/>
      <c r="L65" s="67"/>
    </row>
    <row r="66" customFormat="false" ht="14.05" hidden="false" customHeight="false" outlineLevel="0" collapsed="false">
      <c r="C66" s="86" t="n">
        <v>610</v>
      </c>
      <c r="D66" s="100" t="s">
        <v>88</v>
      </c>
      <c r="E66" s="114"/>
      <c r="F66" s="114" t="n">
        <v>-2000</v>
      </c>
      <c r="G66" s="98" t="n">
        <f aca="false">SUM(E66:F66)</f>
        <v>-2000</v>
      </c>
      <c r="I66" s="65"/>
      <c r="K66" s="66" t="s">
        <v>58</v>
      </c>
      <c r="L66" s="89" t="n">
        <f aca="false">(ABS(SUM(F55:F66))-I54)/L54</f>
        <v>3336.25</v>
      </c>
      <c r="M66" s="2" t="n">
        <v>1500</v>
      </c>
    </row>
    <row r="67" customFormat="false" ht="14.05" hidden="false" customHeight="false" outlineLevel="0" collapsed="false">
      <c r="D67" s="30" t="s">
        <v>89</v>
      </c>
      <c r="E67" s="63" t="n">
        <f aca="false">SUM(E55:E66)</f>
        <v>48000</v>
      </c>
      <c r="F67" s="63" t="n">
        <f aca="false">SUM(F55:F66)</f>
        <v>-77380</v>
      </c>
      <c r="G67" s="150" t="n">
        <f aca="false">SUM(G55:G66)</f>
        <v>-29380</v>
      </c>
      <c r="I67" s="65"/>
      <c r="K67" s="66" t="s">
        <v>77</v>
      </c>
      <c r="L67" s="67"/>
    </row>
    <row r="68" customFormat="false" ht="14.05" hidden="false" customHeight="false" outlineLevel="0" collapsed="false">
      <c r="D68" s="30"/>
      <c r="E68" s="63"/>
      <c r="F68" s="63"/>
      <c r="I68" s="65"/>
      <c r="K68" s="67"/>
      <c r="L68" s="67"/>
    </row>
    <row r="69" customFormat="false" ht="14.05" hidden="false" customHeight="false" outlineLevel="0" collapsed="false">
      <c r="E69" s="63"/>
      <c r="F69" s="63"/>
      <c r="I69" s="65"/>
      <c r="K69" s="67"/>
      <c r="L69" s="67"/>
    </row>
    <row r="70" customFormat="false" ht="14.05" hidden="false" customHeight="false" outlineLevel="0" collapsed="false">
      <c r="D70" s="30"/>
      <c r="E70" s="63"/>
      <c r="F70" s="63"/>
      <c r="I70" s="65"/>
      <c r="K70" s="67"/>
      <c r="L70" s="67"/>
    </row>
    <row r="71" customFormat="false" ht="19.4" hidden="false" customHeight="false" outlineLevel="0" collapsed="false">
      <c r="D71" s="68" t="s">
        <v>147</v>
      </c>
      <c r="E71" s="63"/>
      <c r="F71" s="63"/>
      <c r="I71" s="65"/>
      <c r="K71" s="67"/>
      <c r="L71" s="67"/>
    </row>
    <row r="72" customFormat="false" ht="14.05" hidden="false" customHeight="false" outlineLevel="0" collapsed="false">
      <c r="E72" s="63"/>
      <c r="F72" s="63"/>
      <c r="I72" s="65"/>
      <c r="K72" s="67"/>
      <c r="L72" s="67"/>
    </row>
    <row r="73" customFormat="false" ht="17.65" hidden="false" customHeight="false" outlineLevel="0" collapsed="false">
      <c r="C73" s="69" t="s">
        <v>45</v>
      </c>
      <c r="D73" s="70" t="s">
        <v>46</v>
      </c>
      <c r="E73" s="71" t="s">
        <v>47</v>
      </c>
      <c r="F73" s="71" t="s">
        <v>48</v>
      </c>
      <c r="G73" s="72" t="s">
        <v>4</v>
      </c>
      <c r="I73" s="65" t="n">
        <f aca="false">G78</f>
        <v>0</v>
      </c>
      <c r="J73" s="2" t="n">
        <v>4800</v>
      </c>
      <c r="K73" s="67"/>
      <c r="L73" s="67" t="n">
        <v>53</v>
      </c>
    </row>
    <row r="74" customFormat="false" ht="14.05" hidden="false" customHeight="false" outlineLevel="0" collapsed="false">
      <c r="C74" s="75" t="n">
        <v>701</v>
      </c>
      <c r="D74" s="26" t="s">
        <v>91</v>
      </c>
      <c r="E74" s="103"/>
      <c r="F74" s="103" t="n">
        <v>0</v>
      </c>
      <c r="G74" s="95" t="n">
        <f aca="false">SUM(E74:F74)</f>
        <v>0</v>
      </c>
      <c r="I74" s="65"/>
      <c r="K74" s="67"/>
      <c r="L74" s="67"/>
    </row>
    <row r="75" customFormat="false" ht="14.05" hidden="false" customHeight="false" outlineLevel="0" collapsed="false">
      <c r="C75" s="116" t="n">
        <v>702</v>
      </c>
      <c r="D75" s="117" t="s">
        <v>92</v>
      </c>
      <c r="E75" s="118"/>
      <c r="F75" s="118" t="n">
        <v>-28100</v>
      </c>
      <c r="G75" s="95" t="n">
        <f aca="false">SUM(E75:F75)</f>
        <v>-28100</v>
      </c>
      <c r="I75" s="65"/>
      <c r="K75" s="67"/>
      <c r="L75" s="67"/>
    </row>
    <row r="76" customFormat="false" ht="14.05" hidden="false" customHeight="false" outlineLevel="0" collapsed="false">
      <c r="C76" s="109" t="n">
        <v>703</v>
      </c>
      <c r="D76" s="110" t="s">
        <v>93</v>
      </c>
      <c r="E76" s="112"/>
      <c r="F76" s="112" t="n">
        <v>-51700</v>
      </c>
      <c r="G76" s="95" t="n">
        <f aca="false">SUM(E76:F76)</f>
        <v>-51700</v>
      </c>
      <c r="I76" s="65"/>
      <c r="K76" s="67"/>
      <c r="L76" s="67"/>
    </row>
    <row r="77" customFormat="false" ht="14.05" hidden="false" customHeight="false" outlineLevel="0" collapsed="false">
      <c r="C77" s="86" t="n">
        <v>704</v>
      </c>
      <c r="D77" s="39" t="s">
        <v>94</v>
      </c>
      <c r="E77" s="114" t="n">
        <f aca="false">-SUM(F74:F77)</f>
        <v>79800</v>
      </c>
      <c r="F77" s="114"/>
      <c r="G77" s="95" t="n">
        <f aca="false">SUM(E77:F77)</f>
        <v>79800</v>
      </c>
      <c r="I77" s="65"/>
      <c r="K77" s="67"/>
      <c r="L77" s="67"/>
    </row>
    <row r="78" customFormat="false" ht="14.05" hidden="false" customHeight="false" outlineLevel="0" collapsed="false">
      <c r="E78" s="63" t="n">
        <f aca="false">SUM(E74:E77)</f>
        <v>79800</v>
      </c>
      <c r="F78" s="63" t="n">
        <f aca="false">SUM(F74:F77)</f>
        <v>-79800</v>
      </c>
      <c r="G78" s="150" t="n">
        <f aca="false">SUM(G74:G77)</f>
        <v>0</v>
      </c>
      <c r="I78" s="65"/>
      <c r="K78" s="67"/>
      <c r="L78" s="67" t="n">
        <f aca="false">G77/L73</f>
        <v>1505.66037735849</v>
      </c>
    </row>
    <row r="79" customFormat="false" ht="14.05" hidden="false" customHeight="false" outlineLevel="0" collapsed="false">
      <c r="E79" s="63"/>
      <c r="F79" s="63"/>
      <c r="G79" s="5"/>
      <c r="I79" s="65"/>
      <c r="K79" s="67"/>
      <c r="L79" s="67"/>
    </row>
    <row r="80" customFormat="false" ht="14.05" hidden="false" customHeight="false" outlineLevel="0" collapsed="false">
      <c r="E80" s="63"/>
      <c r="F80" s="63"/>
      <c r="I80" s="65"/>
      <c r="K80" s="67"/>
      <c r="L80" s="67"/>
    </row>
    <row r="81" customFormat="false" ht="19.4" hidden="false" customHeight="false" outlineLevel="0" collapsed="false">
      <c r="D81" s="68" t="s">
        <v>95</v>
      </c>
      <c r="E81" s="63"/>
      <c r="F81" s="63"/>
      <c r="I81" s="65"/>
      <c r="K81" s="67"/>
      <c r="L81" s="67"/>
    </row>
    <row r="82" customFormat="false" ht="14.05" hidden="false" customHeight="false" outlineLevel="0" collapsed="false">
      <c r="E82" s="63"/>
      <c r="F82" s="63"/>
      <c r="I82" s="65"/>
      <c r="K82" s="67"/>
      <c r="L82" s="67"/>
    </row>
    <row r="83" customFormat="false" ht="17.65" hidden="false" customHeight="false" outlineLevel="0" collapsed="false">
      <c r="C83" s="69" t="s">
        <v>45</v>
      </c>
      <c r="D83" s="70" t="s">
        <v>46</v>
      </c>
      <c r="E83" s="71" t="s">
        <v>47</v>
      </c>
      <c r="F83" s="71" t="s">
        <v>48</v>
      </c>
      <c r="G83" s="72" t="s">
        <v>4</v>
      </c>
      <c r="I83" s="65" t="n">
        <f aca="false">G92</f>
        <v>-6000</v>
      </c>
      <c r="J83" s="2" t="n">
        <v>1000</v>
      </c>
      <c r="K83" s="67"/>
      <c r="L83" s="67"/>
    </row>
    <row r="84" customFormat="false" ht="14.05" hidden="false" customHeight="false" outlineLevel="0" collapsed="false">
      <c r="C84" s="75" t="n">
        <v>801</v>
      </c>
      <c r="D84" s="26" t="s">
        <v>96</v>
      </c>
      <c r="E84" s="103"/>
      <c r="F84" s="103" t="n">
        <v>-2000</v>
      </c>
      <c r="G84" s="95" t="n">
        <f aca="false">SUM(E84:F84)</f>
        <v>-2000</v>
      </c>
      <c r="I84" s="65"/>
      <c r="K84" s="67"/>
      <c r="L84" s="67"/>
    </row>
    <row r="85" customFormat="false" ht="14.05" hidden="false" customHeight="false" outlineLevel="0" collapsed="false">
      <c r="C85" s="81" t="n">
        <v>802</v>
      </c>
      <c r="D85" s="32" t="s">
        <v>97</v>
      </c>
      <c r="E85" s="106"/>
      <c r="F85" s="106" t="n">
        <v>-1000</v>
      </c>
      <c r="G85" s="98" t="n">
        <f aca="false">SUM(E85:F85)</f>
        <v>-1000</v>
      </c>
      <c r="I85" s="65"/>
      <c r="K85" s="67"/>
      <c r="L85" s="67"/>
    </row>
    <row r="86" customFormat="false" ht="14.05" hidden="false" customHeight="false" outlineLevel="0" collapsed="false">
      <c r="C86" s="81" t="n">
        <v>803</v>
      </c>
      <c r="D86" s="32" t="s">
        <v>148</v>
      </c>
      <c r="E86" s="106"/>
      <c r="F86" s="106" t="n">
        <v>0</v>
      </c>
      <c r="G86" s="98" t="n">
        <f aca="false">SUM(E86:F86)</f>
        <v>0</v>
      </c>
      <c r="I86" s="65"/>
      <c r="K86" s="67"/>
      <c r="L86" s="67"/>
    </row>
    <row r="87" customFormat="false" ht="14.05" hidden="false" customHeight="false" outlineLevel="0" collapsed="false">
      <c r="C87" s="75" t="n">
        <v>804</v>
      </c>
      <c r="D87" s="32" t="s">
        <v>100</v>
      </c>
      <c r="E87" s="106"/>
      <c r="F87" s="106" t="n">
        <v>-2000</v>
      </c>
      <c r="G87" s="98" t="n">
        <f aca="false">SUM(E87:F87)</f>
        <v>-2000</v>
      </c>
      <c r="I87" s="65"/>
      <c r="K87" s="67"/>
      <c r="L87" s="67"/>
    </row>
    <row r="88" customFormat="false" ht="14.05" hidden="false" customHeight="false" outlineLevel="0" collapsed="false">
      <c r="C88" s="81" t="n">
        <v>805</v>
      </c>
      <c r="D88" s="110" t="s">
        <v>101</v>
      </c>
      <c r="E88" s="112" t="n">
        <v>5000</v>
      </c>
      <c r="F88" s="112"/>
      <c r="G88" s="98" t="n">
        <f aca="false">SUM(E88:F88)</f>
        <v>5000</v>
      </c>
      <c r="I88" s="65"/>
      <c r="K88" s="67"/>
      <c r="L88" s="67"/>
    </row>
    <row r="89" customFormat="false" ht="14.05" hidden="false" customHeight="false" outlineLevel="0" collapsed="false">
      <c r="C89" s="109" t="n">
        <v>806</v>
      </c>
      <c r="D89" s="110" t="s">
        <v>102</v>
      </c>
      <c r="E89" s="112"/>
      <c r="F89" s="112" t="n">
        <v>-5000</v>
      </c>
      <c r="G89" s="98" t="n">
        <f aca="false">SUM(E89:F89)</f>
        <v>-5000</v>
      </c>
      <c r="I89" s="65"/>
      <c r="K89" s="67"/>
      <c r="L89" s="67"/>
    </row>
    <row r="90" customFormat="false" ht="14.05" hidden="false" customHeight="false" outlineLevel="0" collapsed="false">
      <c r="C90" s="109"/>
      <c r="D90" s="110"/>
      <c r="E90" s="112"/>
      <c r="F90" s="112"/>
      <c r="G90" s="113"/>
      <c r="I90" s="65"/>
      <c r="K90" s="67"/>
      <c r="L90" s="67"/>
    </row>
    <row r="91" customFormat="false" ht="14.05" hidden="false" customHeight="false" outlineLevel="0" collapsed="false">
      <c r="C91" s="86" t="n">
        <v>807</v>
      </c>
      <c r="D91" s="100" t="s">
        <v>103</v>
      </c>
      <c r="E91" s="114"/>
      <c r="F91" s="114" t="n">
        <v>-1000</v>
      </c>
      <c r="G91" s="101" t="n">
        <f aca="false">SUM(E91:F91)</f>
        <v>-1000</v>
      </c>
      <c r="I91" s="65"/>
      <c r="K91" s="67"/>
      <c r="L91" s="67"/>
    </row>
    <row r="92" customFormat="false" ht="14.05" hidden="false" customHeight="false" outlineLevel="0" collapsed="false">
      <c r="E92" s="63"/>
      <c r="F92" s="63"/>
      <c r="G92" s="150" t="n">
        <f aca="false">SUM(G84:G91)</f>
        <v>-6000</v>
      </c>
      <c r="I92" s="65"/>
      <c r="K92" s="67"/>
      <c r="L92" s="67"/>
    </row>
    <row r="93" customFormat="false" ht="14.05" hidden="false" customHeight="false" outlineLevel="0" collapsed="false">
      <c r="E93" s="63"/>
      <c r="F93" s="63"/>
      <c r="G93" s="5"/>
      <c r="I93" s="65"/>
    </row>
    <row r="94" customFormat="false" ht="14.05" hidden="false" customHeight="false" outlineLevel="0" collapsed="false">
      <c r="E94" s="63"/>
      <c r="F94" s="63"/>
      <c r="G94" s="5"/>
      <c r="I94" s="65"/>
    </row>
    <row r="95" customFormat="false" ht="14.05" hidden="false" customHeight="false" outlineLevel="0" collapsed="false">
      <c r="E95" s="63"/>
      <c r="F95" s="63" t="s">
        <v>104</v>
      </c>
      <c r="G95" s="119" t="n">
        <f aca="false">G18+G32+G49+G78+G67+G92</f>
        <v>-53762.6</v>
      </c>
      <c r="I95" s="65"/>
    </row>
    <row r="97" customFormat="false" ht="19.4" hidden="false" customHeight="false" outlineLevel="0" collapsed="false">
      <c r="D97" s="68" t="s">
        <v>105</v>
      </c>
      <c r="E97" s="63"/>
      <c r="F97" s="63"/>
    </row>
    <row r="98" customFormat="false" ht="14.05" hidden="false" customHeight="false" outlineLevel="0" collapsed="false">
      <c r="E98" s="63"/>
      <c r="F98" s="63"/>
    </row>
    <row r="99" customFormat="false" ht="17.65" hidden="false" customHeight="false" outlineLevel="0" collapsed="false">
      <c r="C99" s="69" t="s">
        <v>45</v>
      </c>
      <c r="D99" s="70" t="s">
        <v>46</v>
      </c>
      <c r="E99" s="71" t="s">
        <v>47</v>
      </c>
      <c r="F99" s="71" t="s">
        <v>48</v>
      </c>
      <c r="G99" s="72" t="s">
        <v>4</v>
      </c>
      <c r="I99" s="65" t="n">
        <f aca="false">G105</f>
        <v>7000</v>
      </c>
    </row>
    <row r="100" customFormat="false" ht="14.05" hidden="false" customHeight="false" outlineLevel="0" collapsed="false">
      <c r="C100" s="75" t="n">
        <v>3177</v>
      </c>
      <c r="D100" s="26" t="s">
        <v>106</v>
      </c>
      <c r="E100" s="103" t="n">
        <v>23000</v>
      </c>
      <c r="F100" s="103"/>
      <c r="G100" s="95" t="n">
        <f aca="false">SUM(E100:F100)</f>
        <v>23000</v>
      </c>
      <c r="I100" s="65"/>
    </row>
    <row r="101" customFormat="false" ht="14.05" hidden="false" customHeight="false" outlineLevel="0" collapsed="false">
      <c r="C101" s="81" t="n">
        <v>4177</v>
      </c>
      <c r="D101" s="32" t="s">
        <v>107</v>
      </c>
      <c r="E101" s="106"/>
      <c r="F101" s="106" t="n">
        <v>-15000</v>
      </c>
      <c r="G101" s="98" t="n">
        <f aca="false">SUM(E101:F101)</f>
        <v>-15000</v>
      </c>
      <c r="I101" s="65"/>
    </row>
    <row r="102" customFormat="false" ht="14.05" hidden="false" customHeight="false" outlineLevel="0" collapsed="false">
      <c r="C102" s="81" t="n">
        <v>4177</v>
      </c>
      <c r="D102" s="32" t="s">
        <v>108</v>
      </c>
      <c r="E102" s="106"/>
      <c r="F102" s="106" t="n">
        <v>-500</v>
      </c>
      <c r="G102" s="98" t="n">
        <f aca="false">SUM(E102:F102)</f>
        <v>-500</v>
      </c>
      <c r="I102" s="65"/>
    </row>
    <row r="103" customFormat="false" ht="14.05" hidden="false" customHeight="false" outlineLevel="0" collapsed="false">
      <c r="C103" s="81" t="s">
        <v>149</v>
      </c>
      <c r="D103" s="32" t="s">
        <v>150</v>
      </c>
      <c r="E103" s="106" t="n">
        <v>500</v>
      </c>
      <c r="F103" s="106" t="n">
        <v>-1000</v>
      </c>
      <c r="G103" s="98" t="n">
        <f aca="false">SUM(E103:F103)</f>
        <v>-500</v>
      </c>
      <c r="I103" s="65"/>
    </row>
    <row r="104" customFormat="false" ht="14.05" hidden="false" customHeight="false" outlineLevel="0" collapsed="false">
      <c r="C104" s="81"/>
      <c r="D104" s="100"/>
      <c r="E104" s="114"/>
      <c r="F104" s="114"/>
      <c r="G104" s="101"/>
      <c r="I104" s="65"/>
    </row>
    <row r="105" customFormat="false" ht="14.05" hidden="false" customHeight="false" outlineLevel="0" collapsed="false">
      <c r="E105" s="63"/>
      <c r="F105" s="63"/>
      <c r="G105" s="150" t="n">
        <f aca="false">SUM(G100:G104)</f>
        <v>7000</v>
      </c>
      <c r="I105" s="65"/>
    </row>
    <row r="106" customFormat="false" ht="14.05" hidden="false" customHeight="false" outlineLevel="0" collapsed="false">
      <c r="I106" s="65"/>
    </row>
    <row r="107" customFormat="false" ht="14.05" hidden="false" customHeight="false" outlineLevel="0" collapsed="false">
      <c r="I107" s="65"/>
    </row>
    <row r="108" customFormat="false" ht="14.05" hidden="false" customHeight="false" outlineLevel="0" collapsed="false">
      <c r="I108" s="65"/>
    </row>
    <row r="109" customFormat="false" ht="19.4" hidden="false" customHeight="false" outlineLevel="0" collapsed="false">
      <c r="D109" s="68" t="s">
        <v>109</v>
      </c>
      <c r="E109" s="63"/>
      <c r="F109" s="63"/>
      <c r="I109" s="65"/>
    </row>
    <row r="110" customFormat="false" ht="14.05" hidden="false" customHeight="false" outlineLevel="0" collapsed="false">
      <c r="E110" s="63"/>
      <c r="F110" s="63"/>
      <c r="I110" s="65"/>
    </row>
    <row r="111" customFormat="false" ht="17.65" hidden="false" customHeight="false" outlineLevel="0" collapsed="false">
      <c r="C111" s="69" t="s">
        <v>45</v>
      </c>
      <c r="D111" s="70" t="s">
        <v>46</v>
      </c>
      <c r="E111" s="71" t="s">
        <v>47</v>
      </c>
      <c r="F111" s="71" t="s">
        <v>48</v>
      </c>
      <c r="G111" s="72" t="s">
        <v>4</v>
      </c>
      <c r="I111" s="65" t="n">
        <f aca="false">G117</f>
        <v>5000</v>
      </c>
    </row>
    <row r="112" customFormat="false" ht="14.05" hidden="false" customHeight="false" outlineLevel="0" collapsed="false">
      <c r="C112" s="75" t="n">
        <v>3178</v>
      </c>
      <c r="D112" s="26" t="s">
        <v>151</v>
      </c>
      <c r="E112" s="103" t="n">
        <v>81000</v>
      </c>
      <c r="F112" s="103"/>
      <c r="G112" s="98" t="n">
        <f aca="false">SUM(E112:F112)</f>
        <v>81000</v>
      </c>
      <c r="I112" s="65"/>
    </row>
    <row r="113" customFormat="false" ht="14.05" hidden="false" customHeight="false" outlineLevel="0" collapsed="false">
      <c r="C113" s="81" t="n">
        <v>4178</v>
      </c>
      <c r="D113" s="32" t="s">
        <v>23</v>
      </c>
      <c r="E113" s="106"/>
      <c r="F113" s="106" t="n">
        <v>-60000</v>
      </c>
      <c r="G113" s="98" t="n">
        <f aca="false">SUM(E113:F113)</f>
        <v>-60000</v>
      </c>
      <c r="I113" s="65"/>
    </row>
    <row r="114" customFormat="false" ht="14.05" hidden="false" customHeight="false" outlineLevel="0" collapsed="false">
      <c r="C114" s="81" t="n">
        <v>4178</v>
      </c>
      <c r="D114" s="100" t="s">
        <v>111</v>
      </c>
      <c r="E114" s="106"/>
      <c r="F114" s="106" t="n">
        <v>-16000</v>
      </c>
      <c r="G114" s="98" t="n">
        <f aca="false">SUM(E114:F114)</f>
        <v>-16000</v>
      </c>
      <c r="I114" s="65"/>
    </row>
    <row r="115" customFormat="false" ht="14.05" hidden="false" customHeight="false" outlineLevel="0" collapsed="false">
      <c r="C115" s="81"/>
      <c r="D115" s="32"/>
      <c r="E115" s="106"/>
      <c r="F115" s="106"/>
      <c r="G115" s="98" t="n">
        <f aca="false">SUM(E115:F115)</f>
        <v>0</v>
      </c>
      <c r="I115" s="65"/>
    </row>
    <row r="116" customFormat="false" ht="14.05" hidden="false" customHeight="false" outlineLevel="0" collapsed="false">
      <c r="C116" s="81"/>
      <c r="D116" s="100"/>
      <c r="E116" s="114"/>
      <c r="F116" s="114"/>
      <c r="G116" s="101"/>
      <c r="I116" s="65"/>
    </row>
    <row r="117" customFormat="false" ht="14.05" hidden="false" customHeight="false" outlineLevel="0" collapsed="false">
      <c r="E117" s="63"/>
      <c r="F117" s="63"/>
      <c r="G117" s="150" t="n">
        <f aca="false">SUM(G112:G116)</f>
        <v>5000</v>
      </c>
      <c r="I117" s="65"/>
    </row>
    <row r="118" customFormat="false" ht="14.05" hidden="false" customHeight="false" outlineLevel="0" collapsed="false">
      <c r="I118" s="65"/>
    </row>
    <row r="119" customFormat="false" ht="14.05" hidden="false" customHeight="false" outlineLevel="0" collapsed="false">
      <c r="I119" s="65"/>
    </row>
    <row r="120" customFormat="false" ht="19.4" hidden="false" customHeight="false" outlineLevel="0" collapsed="false">
      <c r="D120" s="68" t="s">
        <v>112</v>
      </c>
      <c r="E120" s="63"/>
      <c r="F120" s="63"/>
      <c r="I120" s="65"/>
    </row>
    <row r="121" customFormat="false" ht="14.05" hidden="false" customHeight="false" outlineLevel="0" collapsed="false">
      <c r="E121" s="63"/>
      <c r="F121" s="63"/>
      <c r="I121" s="65"/>
    </row>
    <row r="122" customFormat="false" ht="17.65" hidden="false" customHeight="false" outlineLevel="0" collapsed="false">
      <c r="C122" s="69" t="s">
        <v>45</v>
      </c>
      <c r="D122" s="70" t="s">
        <v>46</v>
      </c>
      <c r="E122" s="71" t="s">
        <v>47</v>
      </c>
      <c r="F122" s="71" t="s">
        <v>48</v>
      </c>
      <c r="G122" s="72" t="s">
        <v>4</v>
      </c>
      <c r="I122" s="65" t="n">
        <f aca="false">G128</f>
        <v>-10000</v>
      </c>
    </row>
    <row r="123" customFormat="false" ht="14.05" hidden="false" customHeight="false" outlineLevel="0" collapsed="false">
      <c r="C123" s="75" t="n">
        <v>7610</v>
      </c>
      <c r="D123" s="26" t="s">
        <v>152</v>
      </c>
      <c r="E123" s="103"/>
      <c r="F123" s="103" t="n">
        <v>-10000</v>
      </c>
      <c r="G123" s="98" t="n">
        <f aca="false">SUM(E123:F123)</f>
        <v>-10000</v>
      </c>
      <c r="I123" s="65"/>
    </row>
    <row r="124" customFormat="false" ht="14.05" hidden="false" customHeight="false" outlineLevel="0" collapsed="false">
      <c r="C124" s="81"/>
      <c r="D124" s="32"/>
      <c r="E124" s="106"/>
      <c r="F124" s="106"/>
      <c r="G124" s="98" t="n">
        <f aca="false">SUM(E124:F124)</f>
        <v>0</v>
      </c>
      <c r="I124" s="65"/>
    </row>
    <row r="125" customFormat="false" ht="14.05" hidden="false" customHeight="false" outlineLevel="0" collapsed="false">
      <c r="C125" s="81"/>
      <c r="D125" s="100"/>
      <c r="E125" s="106"/>
      <c r="F125" s="106"/>
      <c r="G125" s="98" t="n">
        <f aca="false">SUM(E125:F125)</f>
        <v>0</v>
      </c>
      <c r="I125" s="65"/>
    </row>
    <row r="126" customFormat="false" ht="14.05" hidden="false" customHeight="false" outlineLevel="0" collapsed="false">
      <c r="C126" s="81"/>
      <c r="D126" s="32"/>
      <c r="E126" s="106"/>
      <c r="F126" s="106"/>
      <c r="G126" s="98" t="n">
        <f aca="false">SUM(E126:F126)</f>
        <v>0</v>
      </c>
      <c r="I126" s="65"/>
    </row>
    <row r="127" customFormat="false" ht="14.05" hidden="false" customHeight="false" outlineLevel="0" collapsed="false">
      <c r="C127" s="81"/>
      <c r="D127" s="100"/>
      <c r="E127" s="114"/>
      <c r="F127" s="114"/>
      <c r="G127" s="101"/>
      <c r="I127" s="65"/>
    </row>
    <row r="128" customFormat="false" ht="14.05" hidden="false" customHeight="false" outlineLevel="0" collapsed="false">
      <c r="E128" s="63"/>
      <c r="F128" s="63"/>
      <c r="G128" s="150" t="n">
        <f aca="false">SUM(G123:G127)</f>
        <v>-10000</v>
      </c>
      <c r="I128" s="65"/>
    </row>
    <row r="129" customFormat="false" ht="14.05" hidden="false" customHeight="false" outlineLevel="0" collapsed="false">
      <c r="I129" s="65"/>
    </row>
    <row r="130" customFormat="false" ht="14.05" hidden="false" customHeight="false" outlineLevel="0" collapsed="false">
      <c r="I130" s="65"/>
    </row>
    <row r="131" customFormat="false" ht="14.05" hidden="false" customHeight="false" outlineLevel="0" collapsed="false">
      <c r="I131" s="65"/>
    </row>
    <row r="132" customFormat="false" ht="14.05" hidden="false" customHeight="false" outlineLevel="0" collapsed="false">
      <c r="I132" s="73" t="n">
        <f aca="false">SUM(I9:I131)</f>
        <v>-51762.6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CF92"/>
  <sheetViews>
    <sheetView windowProtection="false" showFormulas="false" showGridLines="true" showRowColHeaders="true" showZeros="true" rightToLeft="false" tabSelected="false" showOutlineSymbols="true" defaultGridColor="true" view="normal" topLeftCell="A72" colorId="64" zoomScale="110" zoomScaleNormal="110" zoomScalePageLayoutView="100" workbookViewId="0">
      <selection pane="topLeft" activeCell="BW18" activeCellId="0" sqref="BW18"/>
    </sheetView>
  </sheetViews>
  <sheetFormatPr defaultRowHeight="12.85"/>
  <cols>
    <col collapsed="false" hidden="false" max="1" min="1" style="151" width="8.46938775510204"/>
    <col collapsed="false" hidden="false" max="2" min="2" style="151" width="45.7959183673469"/>
    <col collapsed="false" hidden="false" max="3" min="3" style="152" width="13.3571428571429"/>
    <col collapsed="false" hidden="false" max="4" min="4" style="152" width="10.6173469387755"/>
    <col collapsed="false" hidden="false" max="5" min="5" style="151" width="7.75"/>
    <col collapsed="false" hidden="false" max="6" min="6" style="152" width="8.46938775510204"/>
    <col collapsed="false" hidden="false" max="7" min="7" style="152" width="12.6377551020408"/>
    <col collapsed="false" hidden="false" max="8" min="8" style="151" width="7.9030612244898"/>
    <col collapsed="false" hidden="false" max="9" min="9" style="151" width="45.2295918367347"/>
    <col collapsed="false" hidden="false" max="10" min="10" style="152" width="13.3571428571429"/>
    <col collapsed="false" hidden="false" max="11" min="11" style="152" width="11.0612244897959"/>
    <col collapsed="false" hidden="false" max="12" min="12" style="151" width="7.60204081632653"/>
    <col collapsed="false" hidden="false" max="13" min="13" style="151" width="8.89795918367347"/>
    <col collapsed="false" hidden="false" max="14" min="14" style="151" width="8.03571428571429"/>
    <col collapsed="false" hidden="false" max="15" min="15" style="151" width="43.6479591836735"/>
    <col collapsed="false" hidden="false" max="16" min="16" style="151" width="13.780612244898"/>
    <col collapsed="false" hidden="false" max="17" min="17" style="151" width="10.9183673469388"/>
    <col collapsed="false" hidden="false" max="18" min="18" style="151" width="7.60204081632653"/>
    <col collapsed="false" hidden="false" max="19" min="19" style="151" width="8.89795918367347"/>
    <col collapsed="false" hidden="false" max="20" min="20" style="151" width="8.3265306122449"/>
    <col collapsed="false" hidden="false" max="21" min="21" style="151" width="48.5357142857143"/>
    <col collapsed="false" hidden="false" max="22" min="22" style="151" width="13.3571428571429"/>
    <col collapsed="false" hidden="false" max="23" min="23" style="151" width="10.3418367346939"/>
    <col collapsed="false" hidden="false" max="24" min="24" style="151" width="14.9285714285714"/>
    <col collapsed="false" hidden="false" max="25" min="25" style="151" width="11.6275510204082"/>
    <col collapsed="false" hidden="false" max="26" min="26" style="151" width="8.89795918367347"/>
    <col collapsed="false" hidden="false" max="27" min="27" style="151" width="9.33163265306122"/>
    <col collapsed="false" hidden="false" max="28" min="28" style="151" width="60.015306122449"/>
    <col collapsed="false" hidden="false" max="29" min="29" style="151" width="14.2091836734694"/>
    <col collapsed="false" hidden="false" max="30" min="30" style="151" width="12.9234693877551"/>
    <col collapsed="false" hidden="false" max="31" min="31" style="151" width="17.3673469387755"/>
    <col collapsed="false" hidden="false" max="33" min="32" style="151" width="8.89795918367347"/>
    <col collapsed="false" hidden="false" max="34" min="34" style="151" width="9.33163265306122"/>
    <col collapsed="false" hidden="false" max="35" min="35" style="151" width="60.015306122449"/>
    <col collapsed="false" hidden="false" max="36" min="36" style="151" width="14.2091836734694"/>
    <col collapsed="false" hidden="false" max="37" min="37" style="151" width="12.9234693877551"/>
    <col collapsed="false" hidden="false" max="38" min="38" style="151" width="17.3673469387755"/>
    <col collapsed="false" hidden="false" max="39" min="39" style="151" width="8.89795918367347"/>
    <col collapsed="false" hidden="false" max="40" min="40" style="151" width="10.9183673469388"/>
    <col collapsed="false" hidden="false" max="41" min="41" style="151" width="8.89795918367347"/>
    <col collapsed="false" hidden="false" max="42" min="42" style="151" width="15.5051020408163"/>
    <col collapsed="false" hidden="false" max="43" min="43" style="151" width="11.6275510204082"/>
    <col collapsed="false" hidden="false" max="45" min="44" style="151" width="8.89795918367347"/>
    <col collapsed="false" hidden="false" max="46" min="46" style="151" width="9.33163265306122"/>
    <col collapsed="false" hidden="false" max="47" min="47" style="151" width="60.015306122449"/>
    <col collapsed="false" hidden="false" max="48" min="48" style="151" width="14.2091836734694"/>
    <col collapsed="false" hidden="false" max="49" min="49" style="151" width="12.9234693877551"/>
    <col collapsed="false" hidden="false" max="50" min="50" style="151" width="17.3673469387755"/>
    <col collapsed="false" hidden="false" max="51" min="51" style="151" width="8.89795918367347"/>
    <col collapsed="false" hidden="false" max="52" min="52" style="151" width="10.9183673469388"/>
    <col collapsed="false" hidden="false" max="53" min="53" style="151" width="8.89795918367347"/>
    <col collapsed="false" hidden="false" max="54" min="54" style="151" width="15.5051020408163"/>
    <col collapsed="false" hidden="false" max="55" min="55" style="151" width="11.6275510204082"/>
    <col collapsed="false" hidden="false" max="57" min="56" style="151" width="8.89795918367347"/>
    <col collapsed="false" hidden="false" max="58" min="58" style="151" width="9.33163265306122"/>
    <col collapsed="false" hidden="false" max="59" min="59" style="151" width="60.015306122449"/>
    <col collapsed="false" hidden="false" max="60" min="60" style="151" width="14.2091836734694"/>
    <col collapsed="false" hidden="false" max="61" min="61" style="151" width="12.9234693877551"/>
    <col collapsed="false" hidden="false" max="62" min="62" style="151" width="17.3673469387755"/>
    <col collapsed="false" hidden="false" max="63" min="63" style="151" width="8.89795918367347"/>
    <col collapsed="false" hidden="false" max="64" min="64" style="151" width="10.9183673469388"/>
    <col collapsed="false" hidden="false" max="65" min="65" style="151" width="8.89795918367347"/>
    <col collapsed="false" hidden="false" max="66" min="66" style="151" width="15.5051020408163"/>
    <col collapsed="false" hidden="false" max="67" min="67" style="151" width="11.6275510204082"/>
    <col collapsed="false" hidden="false" max="72" min="68" style="151" width="8.89795918367347"/>
    <col collapsed="false" hidden="false" max="73" min="73" style="151" width="68.9183673469388"/>
    <col collapsed="false" hidden="false" max="74" min="74" style="151" width="14.0765306122449"/>
    <col collapsed="false" hidden="false" max="75" min="75" style="151" width="10.3418367346939"/>
    <col collapsed="false" hidden="false" max="76" min="76" style="151" width="7.75"/>
    <col collapsed="false" hidden="false" max="77" min="77" style="151" width="8.89795918367347"/>
    <col collapsed="false" hidden="false" max="78" min="78" style="151" width="11.0612244897959"/>
    <col collapsed="false" hidden="false" max="81" min="79" style="151" width="8.89795918367347"/>
    <col collapsed="false" hidden="false" max="82" min="82" style="151" width="11.9132653061225"/>
    <col collapsed="false" hidden="false" max="256" min="83" style="151" width="8.89795918367347"/>
    <col collapsed="false" hidden="false" max="257" min="257" style="151" width="8.46938775510204"/>
    <col collapsed="false" hidden="false" max="258" min="258" style="151" width="45.7959183673469"/>
    <col collapsed="false" hidden="false" max="259" min="259" style="151" width="13.3571428571429"/>
    <col collapsed="false" hidden="false" max="260" min="260" style="151" width="10.6173469387755"/>
    <col collapsed="false" hidden="false" max="261" min="261" style="151" width="7.75"/>
    <col collapsed="false" hidden="false" max="262" min="262" style="151" width="8.46938775510204"/>
    <col collapsed="false" hidden="false" max="263" min="263" style="151" width="12.6377551020408"/>
    <col collapsed="false" hidden="false" max="264" min="264" style="151" width="7.9030612244898"/>
    <col collapsed="false" hidden="false" max="265" min="265" style="151" width="45.2295918367347"/>
    <col collapsed="false" hidden="false" max="266" min="266" style="151" width="13.3571428571429"/>
    <col collapsed="false" hidden="false" max="267" min="267" style="151" width="11.0612244897959"/>
    <col collapsed="false" hidden="false" max="268" min="268" style="151" width="7.60204081632653"/>
    <col collapsed="false" hidden="false" max="269" min="269" style="151" width="8.89795918367347"/>
    <col collapsed="false" hidden="false" max="270" min="270" style="151" width="8.03571428571429"/>
    <col collapsed="false" hidden="false" max="271" min="271" style="151" width="43.6479591836735"/>
    <col collapsed="false" hidden="false" max="272" min="272" style="151" width="13.780612244898"/>
    <col collapsed="false" hidden="false" max="273" min="273" style="151" width="10.9183673469388"/>
    <col collapsed="false" hidden="false" max="274" min="274" style="151" width="7.60204081632653"/>
    <col collapsed="false" hidden="false" max="275" min="275" style="151" width="8.89795918367347"/>
    <col collapsed="false" hidden="false" max="276" min="276" style="151" width="8.3265306122449"/>
    <col collapsed="false" hidden="false" max="277" min="277" style="151" width="48.5357142857143"/>
    <col collapsed="false" hidden="false" max="278" min="278" style="151" width="13.3571428571429"/>
    <col collapsed="false" hidden="false" max="279" min="279" style="151" width="10.3418367346939"/>
    <col collapsed="false" hidden="false" max="280" min="280" style="151" width="14.9285714285714"/>
    <col collapsed="false" hidden="false" max="281" min="281" style="151" width="11.6275510204082"/>
    <col collapsed="false" hidden="false" max="282" min="282" style="151" width="8.89795918367347"/>
    <col collapsed="false" hidden="false" max="283" min="283" style="151" width="9.33163265306122"/>
    <col collapsed="false" hidden="false" max="284" min="284" style="151" width="60.015306122449"/>
    <col collapsed="false" hidden="false" max="285" min="285" style="151" width="14.2091836734694"/>
    <col collapsed="false" hidden="false" max="286" min="286" style="151" width="12.9234693877551"/>
    <col collapsed="false" hidden="false" max="287" min="287" style="151" width="17.3673469387755"/>
    <col collapsed="false" hidden="false" max="289" min="288" style="151" width="8.89795918367347"/>
    <col collapsed="false" hidden="false" max="290" min="290" style="151" width="9.33163265306122"/>
    <col collapsed="false" hidden="false" max="291" min="291" style="151" width="60.015306122449"/>
    <col collapsed="false" hidden="false" max="292" min="292" style="151" width="14.2091836734694"/>
    <col collapsed="false" hidden="false" max="293" min="293" style="151" width="12.9234693877551"/>
    <col collapsed="false" hidden="false" max="294" min="294" style="151" width="17.3673469387755"/>
    <col collapsed="false" hidden="false" max="295" min="295" style="151" width="8.89795918367347"/>
    <col collapsed="false" hidden="false" max="296" min="296" style="151" width="10.9183673469388"/>
    <col collapsed="false" hidden="false" max="297" min="297" style="151" width="8.89795918367347"/>
    <col collapsed="false" hidden="false" max="298" min="298" style="151" width="15.5051020408163"/>
    <col collapsed="false" hidden="false" max="299" min="299" style="151" width="11.6275510204082"/>
    <col collapsed="false" hidden="false" max="301" min="300" style="151" width="8.89795918367347"/>
    <col collapsed="false" hidden="false" max="302" min="302" style="151" width="9.33163265306122"/>
    <col collapsed="false" hidden="false" max="303" min="303" style="151" width="60.015306122449"/>
    <col collapsed="false" hidden="false" max="304" min="304" style="151" width="14.2091836734694"/>
    <col collapsed="false" hidden="false" max="305" min="305" style="151" width="12.9234693877551"/>
    <col collapsed="false" hidden="false" max="306" min="306" style="151" width="17.3673469387755"/>
    <col collapsed="false" hidden="false" max="307" min="307" style="151" width="8.89795918367347"/>
    <col collapsed="false" hidden="false" max="308" min="308" style="151" width="10.9183673469388"/>
    <col collapsed="false" hidden="false" max="309" min="309" style="151" width="8.89795918367347"/>
    <col collapsed="false" hidden="false" max="310" min="310" style="151" width="15.5051020408163"/>
    <col collapsed="false" hidden="false" max="311" min="311" style="151" width="11.6275510204082"/>
    <col collapsed="false" hidden="false" max="313" min="312" style="151" width="8.89795918367347"/>
    <col collapsed="false" hidden="false" max="314" min="314" style="151" width="9.33163265306122"/>
    <col collapsed="false" hidden="false" max="315" min="315" style="151" width="60.015306122449"/>
    <col collapsed="false" hidden="false" max="316" min="316" style="151" width="14.2091836734694"/>
    <col collapsed="false" hidden="false" max="317" min="317" style="151" width="12.9234693877551"/>
    <col collapsed="false" hidden="false" max="318" min="318" style="151" width="17.3673469387755"/>
    <col collapsed="false" hidden="false" max="319" min="319" style="151" width="8.89795918367347"/>
    <col collapsed="false" hidden="false" max="320" min="320" style="151" width="10.9183673469388"/>
    <col collapsed="false" hidden="false" max="321" min="321" style="151" width="8.89795918367347"/>
    <col collapsed="false" hidden="false" max="322" min="322" style="151" width="15.5051020408163"/>
    <col collapsed="false" hidden="false" max="323" min="323" style="151" width="11.6275510204082"/>
    <col collapsed="false" hidden="false" max="328" min="324" style="151" width="8.89795918367347"/>
    <col collapsed="false" hidden="false" max="329" min="329" style="151" width="68.9183673469388"/>
    <col collapsed="false" hidden="false" max="330" min="330" style="151" width="14.0765306122449"/>
    <col collapsed="false" hidden="false" max="331" min="331" style="151" width="10.3418367346939"/>
    <col collapsed="false" hidden="false" max="332" min="332" style="151" width="7.75"/>
    <col collapsed="false" hidden="false" max="333" min="333" style="151" width="8.89795918367347"/>
    <col collapsed="false" hidden="false" max="334" min="334" style="151" width="11.0612244897959"/>
    <col collapsed="false" hidden="false" max="337" min="335" style="151" width="8.89795918367347"/>
    <col collapsed="false" hidden="false" max="338" min="338" style="151" width="11.9132653061225"/>
    <col collapsed="false" hidden="false" max="512" min="339" style="151" width="8.89795918367347"/>
    <col collapsed="false" hidden="false" max="513" min="513" style="151" width="8.46938775510204"/>
    <col collapsed="false" hidden="false" max="514" min="514" style="151" width="45.7959183673469"/>
    <col collapsed="false" hidden="false" max="515" min="515" style="151" width="13.3571428571429"/>
    <col collapsed="false" hidden="false" max="516" min="516" style="151" width="10.6173469387755"/>
    <col collapsed="false" hidden="false" max="517" min="517" style="151" width="7.75"/>
    <col collapsed="false" hidden="false" max="518" min="518" style="151" width="8.46938775510204"/>
    <col collapsed="false" hidden="false" max="519" min="519" style="151" width="12.6377551020408"/>
    <col collapsed="false" hidden="false" max="520" min="520" style="151" width="7.9030612244898"/>
    <col collapsed="false" hidden="false" max="521" min="521" style="151" width="45.2295918367347"/>
    <col collapsed="false" hidden="false" max="522" min="522" style="151" width="13.3571428571429"/>
    <col collapsed="false" hidden="false" max="523" min="523" style="151" width="11.0612244897959"/>
    <col collapsed="false" hidden="false" max="524" min="524" style="151" width="7.60204081632653"/>
    <col collapsed="false" hidden="false" max="525" min="525" style="151" width="8.89795918367347"/>
    <col collapsed="false" hidden="false" max="526" min="526" style="151" width="8.03571428571429"/>
    <col collapsed="false" hidden="false" max="527" min="527" style="151" width="43.6479591836735"/>
    <col collapsed="false" hidden="false" max="528" min="528" style="151" width="13.780612244898"/>
    <col collapsed="false" hidden="false" max="529" min="529" style="151" width="10.9183673469388"/>
    <col collapsed="false" hidden="false" max="530" min="530" style="151" width="7.60204081632653"/>
    <col collapsed="false" hidden="false" max="531" min="531" style="151" width="8.89795918367347"/>
    <col collapsed="false" hidden="false" max="532" min="532" style="151" width="8.3265306122449"/>
    <col collapsed="false" hidden="false" max="533" min="533" style="151" width="48.5357142857143"/>
    <col collapsed="false" hidden="false" max="534" min="534" style="151" width="13.3571428571429"/>
    <col collapsed="false" hidden="false" max="535" min="535" style="151" width="10.3418367346939"/>
    <col collapsed="false" hidden="false" max="536" min="536" style="151" width="14.9285714285714"/>
    <col collapsed="false" hidden="false" max="537" min="537" style="151" width="11.6275510204082"/>
    <col collapsed="false" hidden="false" max="538" min="538" style="151" width="8.89795918367347"/>
    <col collapsed="false" hidden="false" max="539" min="539" style="151" width="9.33163265306122"/>
    <col collapsed="false" hidden="false" max="540" min="540" style="151" width="60.015306122449"/>
    <col collapsed="false" hidden="false" max="541" min="541" style="151" width="14.2091836734694"/>
    <col collapsed="false" hidden="false" max="542" min="542" style="151" width="12.9234693877551"/>
    <col collapsed="false" hidden="false" max="543" min="543" style="151" width="17.3673469387755"/>
    <col collapsed="false" hidden="false" max="545" min="544" style="151" width="8.89795918367347"/>
    <col collapsed="false" hidden="false" max="546" min="546" style="151" width="9.33163265306122"/>
    <col collapsed="false" hidden="false" max="547" min="547" style="151" width="60.015306122449"/>
    <col collapsed="false" hidden="false" max="548" min="548" style="151" width="14.2091836734694"/>
    <col collapsed="false" hidden="false" max="549" min="549" style="151" width="12.9234693877551"/>
    <col collapsed="false" hidden="false" max="550" min="550" style="151" width="17.3673469387755"/>
    <col collapsed="false" hidden="false" max="551" min="551" style="151" width="8.89795918367347"/>
    <col collapsed="false" hidden="false" max="552" min="552" style="151" width="10.9183673469388"/>
    <col collapsed="false" hidden="false" max="553" min="553" style="151" width="8.89795918367347"/>
    <col collapsed="false" hidden="false" max="554" min="554" style="151" width="15.5051020408163"/>
    <col collapsed="false" hidden="false" max="555" min="555" style="151" width="11.6275510204082"/>
    <col collapsed="false" hidden="false" max="557" min="556" style="151" width="8.89795918367347"/>
    <col collapsed="false" hidden="false" max="558" min="558" style="151" width="9.33163265306122"/>
    <col collapsed="false" hidden="false" max="559" min="559" style="151" width="60.015306122449"/>
    <col collapsed="false" hidden="false" max="560" min="560" style="151" width="14.2091836734694"/>
    <col collapsed="false" hidden="false" max="561" min="561" style="151" width="12.9234693877551"/>
    <col collapsed="false" hidden="false" max="562" min="562" style="151" width="17.3673469387755"/>
    <col collapsed="false" hidden="false" max="563" min="563" style="151" width="8.89795918367347"/>
    <col collapsed="false" hidden="false" max="564" min="564" style="151" width="10.9183673469388"/>
    <col collapsed="false" hidden="false" max="565" min="565" style="151" width="8.89795918367347"/>
    <col collapsed="false" hidden="false" max="566" min="566" style="151" width="15.5051020408163"/>
    <col collapsed="false" hidden="false" max="567" min="567" style="151" width="11.6275510204082"/>
    <col collapsed="false" hidden="false" max="569" min="568" style="151" width="8.89795918367347"/>
    <col collapsed="false" hidden="false" max="570" min="570" style="151" width="9.33163265306122"/>
    <col collapsed="false" hidden="false" max="571" min="571" style="151" width="60.015306122449"/>
    <col collapsed="false" hidden="false" max="572" min="572" style="151" width="14.2091836734694"/>
    <col collapsed="false" hidden="false" max="573" min="573" style="151" width="12.9234693877551"/>
    <col collapsed="false" hidden="false" max="574" min="574" style="151" width="17.3673469387755"/>
    <col collapsed="false" hidden="false" max="575" min="575" style="151" width="8.89795918367347"/>
    <col collapsed="false" hidden="false" max="576" min="576" style="151" width="10.9183673469388"/>
    <col collapsed="false" hidden="false" max="577" min="577" style="151" width="8.89795918367347"/>
    <col collapsed="false" hidden="false" max="578" min="578" style="151" width="15.5051020408163"/>
    <col collapsed="false" hidden="false" max="579" min="579" style="151" width="11.6275510204082"/>
    <col collapsed="false" hidden="false" max="584" min="580" style="151" width="8.89795918367347"/>
    <col collapsed="false" hidden="false" max="585" min="585" style="151" width="68.9183673469388"/>
    <col collapsed="false" hidden="false" max="586" min="586" style="151" width="14.0765306122449"/>
    <col collapsed="false" hidden="false" max="587" min="587" style="151" width="10.3418367346939"/>
    <col collapsed="false" hidden="false" max="588" min="588" style="151" width="7.75"/>
    <col collapsed="false" hidden="false" max="589" min="589" style="151" width="8.89795918367347"/>
    <col collapsed="false" hidden="false" max="590" min="590" style="151" width="11.0612244897959"/>
    <col collapsed="false" hidden="false" max="593" min="591" style="151" width="8.89795918367347"/>
    <col collapsed="false" hidden="false" max="594" min="594" style="151" width="11.9132653061225"/>
    <col collapsed="false" hidden="false" max="768" min="595" style="151" width="8.89795918367347"/>
    <col collapsed="false" hidden="false" max="769" min="769" style="151" width="8.46938775510204"/>
    <col collapsed="false" hidden="false" max="770" min="770" style="151" width="45.7959183673469"/>
    <col collapsed="false" hidden="false" max="771" min="771" style="151" width="13.3571428571429"/>
    <col collapsed="false" hidden="false" max="772" min="772" style="151" width="10.6173469387755"/>
    <col collapsed="false" hidden="false" max="773" min="773" style="151" width="7.75"/>
    <col collapsed="false" hidden="false" max="774" min="774" style="151" width="8.46938775510204"/>
    <col collapsed="false" hidden="false" max="775" min="775" style="151" width="12.6377551020408"/>
    <col collapsed="false" hidden="false" max="776" min="776" style="151" width="7.9030612244898"/>
    <col collapsed="false" hidden="false" max="777" min="777" style="151" width="45.2295918367347"/>
    <col collapsed="false" hidden="false" max="778" min="778" style="151" width="13.3571428571429"/>
    <col collapsed="false" hidden="false" max="779" min="779" style="151" width="11.0612244897959"/>
    <col collapsed="false" hidden="false" max="780" min="780" style="151" width="7.60204081632653"/>
    <col collapsed="false" hidden="false" max="781" min="781" style="151" width="8.89795918367347"/>
    <col collapsed="false" hidden="false" max="782" min="782" style="151" width="8.03571428571429"/>
    <col collapsed="false" hidden="false" max="783" min="783" style="151" width="43.6479591836735"/>
    <col collapsed="false" hidden="false" max="784" min="784" style="151" width="13.780612244898"/>
    <col collapsed="false" hidden="false" max="785" min="785" style="151" width="10.9183673469388"/>
    <col collapsed="false" hidden="false" max="786" min="786" style="151" width="7.60204081632653"/>
    <col collapsed="false" hidden="false" max="787" min="787" style="151" width="8.89795918367347"/>
    <col collapsed="false" hidden="false" max="788" min="788" style="151" width="8.3265306122449"/>
    <col collapsed="false" hidden="false" max="789" min="789" style="151" width="48.5357142857143"/>
    <col collapsed="false" hidden="false" max="790" min="790" style="151" width="13.3571428571429"/>
    <col collapsed="false" hidden="false" max="791" min="791" style="151" width="10.3418367346939"/>
    <col collapsed="false" hidden="false" max="792" min="792" style="151" width="14.9285714285714"/>
    <col collapsed="false" hidden="false" max="793" min="793" style="151" width="11.6275510204082"/>
    <col collapsed="false" hidden="false" max="794" min="794" style="151" width="8.89795918367347"/>
    <col collapsed="false" hidden="false" max="795" min="795" style="151" width="9.33163265306122"/>
    <col collapsed="false" hidden="false" max="796" min="796" style="151" width="60.015306122449"/>
    <col collapsed="false" hidden="false" max="797" min="797" style="151" width="14.2091836734694"/>
    <col collapsed="false" hidden="false" max="798" min="798" style="151" width="12.9234693877551"/>
    <col collapsed="false" hidden="false" max="799" min="799" style="151" width="17.3673469387755"/>
    <col collapsed="false" hidden="false" max="801" min="800" style="151" width="8.89795918367347"/>
    <col collapsed="false" hidden="false" max="802" min="802" style="151" width="9.33163265306122"/>
    <col collapsed="false" hidden="false" max="803" min="803" style="151" width="60.015306122449"/>
    <col collapsed="false" hidden="false" max="804" min="804" style="151" width="14.2091836734694"/>
    <col collapsed="false" hidden="false" max="805" min="805" style="151" width="12.9234693877551"/>
    <col collapsed="false" hidden="false" max="806" min="806" style="151" width="17.3673469387755"/>
    <col collapsed="false" hidden="false" max="807" min="807" style="151" width="8.89795918367347"/>
    <col collapsed="false" hidden="false" max="808" min="808" style="151" width="10.9183673469388"/>
    <col collapsed="false" hidden="false" max="809" min="809" style="151" width="8.89795918367347"/>
    <col collapsed="false" hidden="false" max="810" min="810" style="151" width="15.5051020408163"/>
    <col collapsed="false" hidden="false" max="811" min="811" style="151" width="11.6275510204082"/>
    <col collapsed="false" hidden="false" max="813" min="812" style="151" width="8.89795918367347"/>
    <col collapsed="false" hidden="false" max="814" min="814" style="151" width="9.33163265306122"/>
    <col collapsed="false" hidden="false" max="815" min="815" style="151" width="60.015306122449"/>
    <col collapsed="false" hidden="false" max="816" min="816" style="151" width="14.2091836734694"/>
    <col collapsed="false" hidden="false" max="817" min="817" style="151" width="12.9234693877551"/>
    <col collapsed="false" hidden="false" max="818" min="818" style="151" width="17.3673469387755"/>
    <col collapsed="false" hidden="false" max="819" min="819" style="151" width="8.89795918367347"/>
    <col collapsed="false" hidden="false" max="820" min="820" style="151" width="10.9183673469388"/>
    <col collapsed="false" hidden="false" max="821" min="821" style="151" width="8.89795918367347"/>
    <col collapsed="false" hidden="false" max="822" min="822" style="151" width="15.5051020408163"/>
    <col collapsed="false" hidden="false" max="823" min="823" style="151" width="11.6275510204082"/>
    <col collapsed="false" hidden="false" max="825" min="824" style="151" width="8.89795918367347"/>
    <col collapsed="false" hidden="false" max="826" min="826" style="151" width="9.33163265306122"/>
    <col collapsed="false" hidden="false" max="827" min="827" style="151" width="60.015306122449"/>
    <col collapsed="false" hidden="false" max="828" min="828" style="151" width="14.2091836734694"/>
    <col collapsed="false" hidden="false" max="829" min="829" style="151" width="12.9234693877551"/>
    <col collapsed="false" hidden="false" max="830" min="830" style="151" width="17.3673469387755"/>
    <col collapsed="false" hidden="false" max="831" min="831" style="151" width="8.89795918367347"/>
    <col collapsed="false" hidden="false" max="832" min="832" style="151" width="10.9183673469388"/>
    <col collapsed="false" hidden="false" max="833" min="833" style="151" width="8.89795918367347"/>
    <col collapsed="false" hidden="false" max="834" min="834" style="151" width="15.5051020408163"/>
    <col collapsed="false" hidden="false" max="835" min="835" style="151" width="11.6275510204082"/>
    <col collapsed="false" hidden="false" max="840" min="836" style="151" width="8.89795918367347"/>
    <col collapsed="false" hidden="false" max="841" min="841" style="151" width="68.9183673469388"/>
    <col collapsed="false" hidden="false" max="842" min="842" style="151" width="14.0765306122449"/>
    <col collapsed="false" hidden="false" max="843" min="843" style="151" width="10.3418367346939"/>
    <col collapsed="false" hidden="false" max="844" min="844" style="151" width="7.75"/>
    <col collapsed="false" hidden="false" max="845" min="845" style="151" width="8.89795918367347"/>
    <col collapsed="false" hidden="false" max="846" min="846" style="151" width="11.0612244897959"/>
    <col collapsed="false" hidden="false" max="849" min="847" style="151" width="8.89795918367347"/>
    <col collapsed="false" hidden="false" max="850" min="850" style="151" width="11.9132653061225"/>
    <col collapsed="false" hidden="false" max="1025" min="851" style="151" width="8.89795918367347"/>
  </cols>
  <sheetData>
    <row r="2" customFormat="false" ht="22.45" hidden="false" customHeight="false" outlineLevel="0" collapsed="false">
      <c r="B2" s="153" t="s">
        <v>153</v>
      </c>
      <c r="F2" s="152" t="s">
        <v>154</v>
      </c>
      <c r="G2" s="152" t="s">
        <v>155</v>
      </c>
      <c r="I2" s="153" t="s">
        <v>156</v>
      </c>
      <c r="O2" s="153" t="s">
        <v>157</v>
      </c>
      <c r="U2" s="153" t="s">
        <v>158</v>
      </c>
      <c r="W2" s="152" t="n">
        <v>20091205</v>
      </c>
      <c r="Z2" s="154"/>
      <c r="AB2" s="153" t="s">
        <v>159</v>
      </c>
      <c r="AD2" s="152"/>
      <c r="AI2" s="153" t="s">
        <v>160</v>
      </c>
      <c r="AK2" s="152"/>
      <c r="AU2" s="153" t="s">
        <v>161</v>
      </c>
      <c r="AW2" s="152"/>
      <c r="BG2" s="153" t="s">
        <v>162</v>
      </c>
      <c r="BI2" s="152"/>
      <c r="BU2" s="153" t="s">
        <v>163</v>
      </c>
      <c r="BW2" s="152"/>
    </row>
    <row r="3" customFormat="false" ht="12.85" hidden="false" customHeight="false" outlineLevel="0" collapsed="false">
      <c r="B3" s="155" t="s">
        <v>164</v>
      </c>
      <c r="F3" s="152" t="s">
        <v>165</v>
      </c>
      <c r="I3" s="155" t="s">
        <v>164</v>
      </c>
      <c r="O3" s="155" t="s">
        <v>166</v>
      </c>
      <c r="U3" s="155" t="s">
        <v>39</v>
      </c>
      <c r="V3" s="152"/>
      <c r="W3" s="152"/>
      <c r="AB3" s="155" t="s">
        <v>39</v>
      </c>
      <c r="AC3" s="152"/>
      <c r="AD3" s="152"/>
      <c r="AI3" s="155" t="s">
        <v>39</v>
      </c>
      <c r="AJ3" s="152"/>
      <c r="AK3" s="152"/>
      <c r="AN3" s="156" t="s">
        <v>40</v>
      </c>
      <c r="AP3" s="157" t="s">
        <v>41</v>
      </c>
      <c r="AQ3" s="158"/>
      <c r="AU3" s="155" t="s">
        <v>39</v>
      </c>
      <c r="AV3" s="152"/>
      <c r="AW3" s="152"/>
      <c r="AZ3" s="156" t="s">
        <v>40</v>
      </c>
      <c r="BB3" s="157" t="s">
        <v>41</v>
      </c>
      <c r="BC3" s="158"/>
      <c r="BG3" s="155" t="s">
        <v>39</v>
      </c>
      <c r="BH3" s="152"/>
      <c r="BI3" s="152"/>
      <c r="BL3" s="156" t="s">
        <v>40</v>
      </c>
      <c r="BM3" s="151" t="n">
        <v>2013</v>
      </c>
      <c r="BN3" s="157" t="s">
        <v>41</v>
      </c>
      <c r="BO3" s="158"/>
      <c r="BP3" s="151" t="s">
        <v>42</v>
      </c>
      <c r="BU3" s="155" t="s">
        <v>39</v>
      </c>
      <c r="BV3" s="152"/>
      <c r="BW3" s="152"/>
      <c r="BZ3" s="156" t="s">
        <v>40</v>
      </c>
      <c r="CA3" s="151" t="n">
        <v>2013</v>
      </c>
      <c r="CB3" s="157" t="s">
        <v>41</v>
      </c>
      <c r="CC3" s="158"/>
      <c r="CD3" s="151" t="s">
        <v>42</v>
      </c>
    </row>
    <row r="4" customFormat="false" ht="12.85" hidden="false" customHeight="false" outlineLevel="0" collapsed="false">
      <c r="B4" s="155" t="s">
        <v>167</v>
      </c>
      <c r="F4" s="152" t="n">
        <v>2008</v>
      </c>
      <c r="I4" s="155" t="s">
        <v>168</v>
      </c>
      <c r="O4" s="155" t="s">
        <v>169</v>
      </c>
      <c r="U4" s="155" t="s">
        <v>43</v>
      </c>
      <c r="V4" s="152"/>
      <c r="W4" s="152"/>
      <c r="AB4" s="155" t="s">
        <v>43</v>
      </c>
      <c r="AC4" s="152"/>
      <c r="AD4" s="152"/>
      <c r="AI4" s="155" t="s">
        <v>43</v>
      </c>
      <c r="AJ4" s="152"/>
      <c r="AK4" s="152"/>
      <c r="AN4" s="156"/>
      <c r="AP4" s="158"/>
      <c r="AQ4" s="158"/>
      <c r="AU4" s="155" t="s">
        <v>43</v>
      </c>
      <c r="AV4" s="152"/>
      <c r="AW4" s="152"/>
      <c r="AZ4" s="156"/>
      <c r="BB4" s="158"/>
      <c r="BC4" s="158"/>
      <c r="BG4" s="155" t="s">
        <v>43</v>
      </c>
      <c r="BH4" s="152"/>
      <c r="BI4" s="152"/>
      <c r="BL4" s="156"/>
      <c r="BN4" s="158"/>
      <c r="BO4" s="158"/>
      <c r="BU4" s="155" t="s">
        <v>43</v>
      </c>
      <c r="BV4" s="152"/>
      <c r="BW4" s="152"/>
      <c r="BZ4" s="156"/>
      <c r="CB4" s="158"/>
      <c r="CC4" s="158"/>
    </row>
    <row r="5" customFormat="false" ht="12.85" hidden="false" customHeight="false" outlineLevel="0" collapsed="false">
      <c r="V5" s="152"/>
      <c r="W5" s="152"/>
      <c r="AC5" s="152"/>
      <c r="AD5" s="152"/>
      <c r="AJ5" s="152"/>
      <c r="AK5" s="152"/>
      <c r="AN5" s="156"/>
      <c r="AP5" s="158"/>
      <c r="AQ5" s="158"/>
      <c r="AV5" s="152"/>
      <c r="AW5" s="152"/>
      <c r="AZ5" s="156"/>
      <c r="BB5" s="158"/>
      <c r="BC5" s="158"/>
      <c r="BH5" s="152"/>
      <c r="BI5" s="152"/>
      <c r="BL5" s="156"/>
      <c r="BN5" s="158"/>
      <c r="BO5" s="158"/>
      <c r="BV5" s="152"/>
      <c r="BW5" s="152"/>
      <c r="BZ5" s="156"/>
      <c r="CB5" s="158"/>
      <c r="CC5" s="158"/>
    </row>
    <row r="6" customFormat="false" ht="12.85" hidden="false" customHeight="false" outlineLevel="0" collapsed="false">
      <c r="E6" s="159"/>
      <c r="L6" s="159"/>
      <c r="V6" s="152"/>
      <c r="W6" s="152"/>
      <c r="X6" s="159"/>
      <c r="AC6" s="152"/>
      <c r="AD6" s="152"/>
      <c r="AE6" s="159"/>
      <c r="AJ6" s="152"/>
      <c r="AK6" s="152"/>
      <c r="AL6" s="159"/>
      <c r="AN6" s="156"/>
      <c r="AP6" s="158"/>
      <c r="AQ6" s="158"/>
      <c r="AV6" s="152"/>
      <c r="AW6" s="152"/>
      <c r="AX6" s="159"/>
      <c r="AZ6" s="156"/>
      <c r="BB6" s="158"/>
      <c r="BC6" s="158"/>
      <c r="BH6" s="152"/>
      <c r="BI6" s="152"/>
      <c r="BJ6" s="159"/>
      <c r="BL6" s="156"/>
      <c r="BN6" s="158"/>
      <c r="BO6" s="158"/>
      <c r="BV6" s="152"/>
      <c r="BW6" s="152"/>
      <c r="BX6" s="159"/>
      <c r="BZ6" s="156"/>
      <c r="CB6" s="158"/>
      <c r="CC6" s="158"/>
    </row>
    <row r="7" customFormat="false" ht="19.4" hidden="false" customHeight="false" outlineLevel="0" collapsed="false">
      <c r="B7" s="160" t="s">
        <v>170</v>
      </c>
      <c r="I7" s="160" t="s">
        <v>171</v>
      </c>
      <c r="O7" s="160" t="s">
        <v>171</v>
      </c>
      <c r="P7" s="152"/>
      <c r="Q7" s="152"/>
      <c r="U7" s="160" t="s">
        <v>172</v>
      </c>
      <c r="V7" s="152"/>
      <c r="W7" s="152"/>
      <c r="Y7" s="154"/>
      <c r="Z7" s="154"/>
      <c r="AB7" s="160" t="s">
        <v>173</v>
      </c>
      <c r="AC7" s="152"/>
      <c r="AD7" s="152"/>
      <c r="AF7" s="154"/>
      <c r="AG7" s="154"/>
      <c r="AI7" s="160" t="s">
        <v>174</v>
      </c>
      <c r="AJ7" s="152"/>
      <c r="AK7" s="152"/>
      <c r="AN7" s="156"/>
      <c r="AP7" s="158"/>
      <c r="AQ7" s="158"/>
      <c r="AU7" s="160" t="s">
        <v>175</v>
      </c>
      <c r="AV7" s="152"/>
      <c r="AW7" s="152"/>
      <c r="AZ7" s="156"/>
      <c r="BB7" s="158"/>
      <c r="BC7" s="158"/>
      <c r="BG7" s="160" t="s">
        <v>176</v>
      </c>
      <c r="BH7" s="152"/>
      <c r="BI7" s="152"/>
      <c r="BL7" s="156"/>
      <c r="BN7" s="158"/>
      <c r="BO7" s="158"/>
      <c r="BU7" s="160" t="s">
        <v>177</v>
      </c>
      <c r="BV7" s="152"/>
      <c r="BW7" s="152"/>
      <c r="BZ7" s="156"/>
      <c r="CB7" s="158"/>
      <c r="CC7" s="158"/>
    </row>
    <row r="8" customFormat="false" ht="12.85" hidden="false" customHeight="false" outlineLevel="0" collapsed="false">
      <c r="P8" s="152"/>
      <c r="Q8" s="152"/>
      <c r="V8" s="152"/>
      <c r="W8" s="152"/>
      <c r="AC8" s="152"/>
      <c r="AD8" s="152"/>
      <c r="AJ8" s="152"/>
      <c r="AK8" s="152"/>
      <c r="AN8" s="156"/>
      <c r="AP8" s="158"/>
      <c r="AQ8" s="158"/>
      <c r="AV8" s="152"/>
      <c r="AW8" s="152"/>
      <c r="AZ8" s="156"/>
      <c r="BB8" s="158"/>
      <c r="BC8" s="158"/>
      <c r="BH8" s="152"/>
      <c r="BI8" s="152"/>
      <c r="BL8" s="156"/>
      <c r="BN8" s="158"/>
      <c r="BO8" s="158"/>
      <c r="BV8" s="152"/>
      <c r="BW8" s="152"/>
      <c r="BZ8" s="156"/>
      <c r="CB8" s="158"/>
      <c r="CC8" s="158"/>
    </row>
    <row r="9" customFormat="false" ht="17.65" hidden="false" customHeight="false" outlineLevel="0" collapsed="false">
      <c r="A9" s="161" t="s">
        <v>45</v>
      </c>
      <c r="B9" s="162" t="s">
        <v>46</v>
      </c>
      <c r="C9" s="163" t="s">
        <v>47</v>
      </c>
      <c r="D9" s="163" t="s">
        <v>48</v>
      </c>
      <c r="E9" s="164" t="s">
        <v>4</v>
      </c>
      <c r="G9" s="152" t="s">
        <v>178</v>
      </c>
      <c r="H9" s="161" t="s">
        <v>45</v>
      </c>
      <c r="I9" s="162" t="s">
        <v>46</v>
      </c>
      <c r="J9" s="163" t="s">
        <v>47</v>
      </c>
      <c r="K9" s="163" t="s">
        <v>48</v>
      </c>
      <c r="L9" s="164" t="s">
        <v>4</v>
      </c>
      <c r="N9" s="161" t="s">
        <v>45</v>
      </c>
      <c r="O9" s="162" t="s">
        <v>46</v>
      </c>
      <c r="P9" s="163" t="s">
        <v>47</v>
      </c>
      <c r="Q9" s="163" t="s">
        <v>48</v>
      </c>
      <c r="R9" s="165" t="s">
        <v>4</v>
      </c>
      <c r="T9" s="161" t="s">
        <v>45</v>
      </c>
      <c r="U9" s="162" t="s">
        <v>46</v>
      </c>
      <c r="V9" s="163" t="s">
        <v>47</v>
      </c>
      <c r="W9" s="163" t="s">
        <v>48</v>
      </c>
      <c r="X9" s="164" t="s">
        <v>4</v>
      </c>
      <c r="AA9" s="161" t="s">
        <v>45</v>
      </c>
      <c r="AB9" s="162" t="s">
        <v>46</v>
      </c>
      <c r="AC9" s="163" t="s">
        <v>47</v>
      </c>
      <c r="AD9" s="163" t="s">
        <v>48</v>
      </c>
      <c r="AE9" s="164" t="s">
        <v>4</v>
      </c>
      <c r="AH9" s="161" t="s">
        <v>45</v>
      </c>
      <c r="AI9" s="162" t="s">
        <v>46</v>
      </c>
      <c r="AJ9" s="163" t="s">
        <v>47</v>
      </c>
      <c r="AK9" s="163" t="s">
        <v>48</v>
      </c>
      <c r="AL9" s="164" t="s">
        <v>4</v>
      </c>
      <c r="AN9" s="156" t="n">
        <v>9000</v>
      </c>
      <c r="AP9" s="157" t="s">
        <v>49</v>
      </c>
      <c r="AQ9" s="166" t="n">
        <v>36</v>
      </c>
      <c r="AT9" s="161" t="s">
        <v>45</v>
      </c>
      <c r="AU9" s="162" t="s">
        <v>46</v>
      </c>
      <c r="AV9" s="163" t="s">
        <v>47</v>
      </c>
      <c r="AW9" s="163" t="s">
        <v>48</v>
      </c>
      <c r="AX9" s="164" t="s">
        <v>4</v>
      </c>
      <c r="AZ9" s="156" t="n">
        <v>3000</v>
      </c>
      <c r="BB9" s="157" t="s">
        <v>49</v>
      </c>
      <c r="BC9" s="166" t="n">
        <v>36</v>
      </c>
      <c r="BF9" s="161" t="s">
        <v>45</v>
      </c>
      <c r="BG9" s="162" t="s">
        <v>46</v>
      </c>
      <c r="BH9" s="163" t="s">
        <v>47</v>
      </c>
      <c r="BI9" s="163" t="s">
        <v>48</v>
      </c>
      <c r="BJ9" s="164" t="s">
        <v>4</v>
      </c>
      <c r="BL9" s="156" t="n">
        <v>11000</v>
      </c>
      <c r="BM9" s="151" t="n">
        <v>1500</v>
      </c>
      <c r="BN9" s="157" t="s">
        <v>49</v>
      </c>
      <c r="BO9" s="166" t="n">
        <v>36</v>
      </c>
      <c r="BT9" s="161" t="s">
        <v>45</v>
      </c>
      <c r="BU9" s="162" t="s">
        <v>46</v>
      </c>
      <c r="BV9" s="163" t="s">
        <v>47</v>
      </c>
      <c r="BW9" s="163" t="s">
        <v>48</v>
      </c>
      <c r="BX9" s="164" t="s">
        <v>4</v>
      </c>
      <c r="BZ9" s="156" t="n">
        <v>4000</v>
      </c>
      <c r="CA9" s="151" t="n">
        <v>1500</v>
      </c>
      <c r="CB9" s="157" t="s">
        <v>49</v>
      </c>
      <c r="CC9" s="166" t="n">
        <v>36</v>
      </c>
    </row>
    <row r="10" customFormat="false" ht="12.85" hidden="false" customHeight="false" outlineLevel="0" collapsed="false">
      <c r="A10" s="167"/>
      <c r="B10" s="168" t="s">
        <v>179</v>
      </c>
      <c r="C10" s="169"/>
      <c r="D10" s="170" t="n">
        <v>-10000</v>
      </c>
      <c r="E10" s="171" t="n">
        <f aca="false">SUM(C10:D10)</f>
        <v>-10000</v>
      </c>
      <c r="G10" s="152" t="n">
        <v>-5618</v>
      </c>
      <c r="H10" s="167"/>
      <c r="I10" s="168" t="s">
        <v>180</v>
      </c>
      <c r="J10" s="169"/>
      <c r="K10" s="172" t="n">
        <v>-20000</v>
      </c>
      <c r="L10" s="171" t="n">
        <f aca="false">SUM(J10:K10)</f>
        <v>-20000</v>
      </c>
      <c r="M10" s="151" t="s">
        <v>181</v>
      </c>
      <c r="N10" s="167" t="n">
        <v>301</v>
      </c>
      <c r="O10" s="168" t="s">
        <v>180</v>
      </c>
      <c r="P10" s="169"/>
      <c r="Q10" s="173" t="n">
        <v>-20000</v>
      </c>
      <c r="R10" s="174" t="n">
        <f aca="false">SUM(P10:Q10)</f>
        <v>-20000</v>
      </c>
      <c r="T10" s="167" t="n">
        <v>301</v>
      </c>
      <c r="U10" s="168" t="s">
        <v>61</v>
      </c>
      <c r="V10" s="169"/>
      <c r="W10" s="173" t="n">
        <v>-10000</v>
      </c>
      <c r="X10" s="175" t="n">
        <f aca="false">SUM(V10:W10)</f>
        <v>-10000</v>
      </c>
      <c r="AA10" s="167" t="n">
        <v>301</v>
      </c>
      <c r="AB10" s="168" t="s">
        <v>180</v>
      </c>
      <c r="AC10" s="169"/>
      <c r="AD10" s="173" t="n">
        <v>-22000</v>
      </c>
      <c r="AE10" s="174" t="n">
        <f aca="false">SUM(AC10:AD10)</f>
        <v>-22000</v>
      </c>
      <c r="AH10" s="167" t="n">
        <v>301</v>
      </c>
      <c r="AI10" s="168" t="s">
        <v>182</v>
      </c>
      <c r="AJ10" s="169"/>
      <c r="AK10" s="176" t="n">
        <v>-8268</v>
      </c>
      <c r="AL10" s="177" t="n">
        <f aca="false">SUM(AJ10:AK10)</f>
        <v>-8268</v>
      </c>
      <c r="AN10" s="156"/>
      <c r="AP10" s="158"/>
      <c r="AQ10" s="158"/>
      <c r="AT10" s="167" t="n">
        <v>301</v>
      </c>
      <c r="AU10" s="168" t="s">
        <v>182</v>
      </c>
      <c r="AV10" s="169"/>
      <c r="AW10" s="176" t="n">
        <v>0</v>
      </c>
      <c r="AX10" s="177" t="n">
        <f aca="false">SUM(AV10:AW10)</f>
        <v>0</v>
      </c>
      <c r="AZ10" s="156"/>
      <c r="BB10" s="158"/>
      <c r="BC10" s="158"/>
      <c r="BF10" s="167" t="n">
        <v>301</v>
      </c>
      <c r="BG10" s="168" t="s">
        <v>183</v>
      </c>
      <c r="BH10" s="169"/>
      <c r="BI10" s="176" t="n">
        <v>-10900</v>
      </c>
      <c r="BJ10" s="177" t="n">
        <f aca="false">SUM(BH10:BI10)</f>
        <v>-10900</v>
      </c>
      <c r="BL10" s="156"/>
      <c r="BN10" s="158"/>
      <c r="BO10" s="158"/>
      <c r="BT10" s="167" t="n">
        <v>301</v>
      </c>
      <c r="BU10" s="168" t="s">
        <v>184</v>
      </c>
      <c r="BV10" s="169"/>
      <c r="BW10" s="176" t="n">
        <v>0</v>
      </c>
      <c r="BX10" s="177" t="n">
        <f aca="false">SUM(BV10:BW10)</f>
        <v>0</v>
      </c>
      <c r="BZ10" s="156"/>
      <c r="CB10" s="158"/>
      <c r="CC10" s="158"/>
    </row>
    <row r="11" customFormat="false" ht="12.85" hidden="false" customHeight="false" outlineLevel="0" collapsed="false">
      <c r="A11" s="167"/>
      <c r="B11" s="168"/>
      <c r="C11" s="170"/>
      <c r="D11" s="170"/>
      <c r="E11" s="171"/>
      <c r="H11" s="167"/>
      <c r="I11" s="168"/>
      <c r="J11" s="170"/>
      <c r="K11" s="172"/>
      <c r="L11" s="171"/>
      <c r="N11" s="167"/>
      <c r="O11" s="168"/>
      <c r="P11" s="170"/>
      <c r="Q11" s="173"/>
      <c r="R11" s="174"/>
      <c r="T11" s="167" t="n">
        <v>302</v>
      </c>
      <c r="U11" s="178" t="s">
        <v>185</v>
      </c>
      <c r="V11" s="179"/>
      <c r="W11" s="179" t="n">
        <v>0</v>
      </c>
      <c r="X11" s="175" t="n">
        <f aca="false">SUM(V11:W11)</f>
        <v>0</v>
      </c>
      <c r="AA11" s="167" t="n">
        <v>302</v>
      </c>
      <c r="AB11" s="168"/>
      <c r="AC11" s="170"/>
      <c r="AD11" s="173"/>
      <c r="AE11" s="174"/>
      <c r="AH11" s="167" t="n">
        <v>302</v>
      </c>
      <c r="AI11" s="168" t="s">
        <v>186</v>
      </c>
      <c r="AJ11" s="170"/>
      <c r="AK11" s="173"/>
      <c r="AL11" s="177" t="n">
        <f aca="false">SUM(AJ11:AK11)</f>
        <v>0</v>
      </c>
      <c r="AN11" s="156"/>
      <c r="AP11" s="158"/>
      <c r="AQ11" s="158"/>
      <c r="AT11" s="167" t="n">
        <v>302</v>
      </c>
      <c r="AU11" s="168" t="s">
        <v>186</v>
      </c>
      <c r="AV11" s="170"/>
      <c r="AW11" s="173"/>
      <c r="AX11" s="177" t="n">
        <f aca="false">SUM(AV11:AW11)</f>
        <v>0</v>
      </c>
      <c r="AZ11" s="156"/>
      <c r="BB11" s="158"/>
      <c r="BC11" s="158"/>
      <c r="BF11" s="167" t="n">
        <v>302</v>
      </c>
      <c r="BG11" s="168" t="s">
        <v>51</v>
      </c>
      <c r="BH11" s="170"/>
      <c r="BI11" s="173" t="n">
        <v>-2000</v>
      </c>
      <c r="BJ11" s="177" t="n">
        <f aca="false">SUM(BH11:BI11)</f>
        <v>-2000</v>
      </c>
      <c r="BL11" s="156"/>
      <c r="BN11" s="158"/>
      <c r="BO11" s="158"/>
      <c r="BT11" s="167" t="n">
        <v>302</v>
      </c>
      <c r="BU11" s="168" t="s">
        <v>51</v>
      </c>
      <c r="BV11" s="170"/>
      <c r="BW11" s="173" t="n">
        <v>0</v>
      </c>
      <c r="BX11" s="177" t="n">
        <f aca="false">SUM(BV11:BW11)</f>
        <v>0</v>
      </c>
      <c r="BZ11" s="156"/>
      <c r="CB11" s="158"/>
      <c r="CC11" s="158"/>
    </row>
    <row r="12" customFormat="false" ht="12.85" hidden="false" customHeight="false" outlineLevel="0" collapsed="false">
      <c r="A12" s="167"/>
      <c r="B12" s="168" t="s">
        <v>187</v>
      </c>
      <c r="C12" s="170"/>
      <c r="D12" s="170" t="n">
        <v>-14000</v>
      </c>
      <c r="E12" s="171" t="n">
        <f aca="false">SUM(C12:D12)</f>
        <v>-14000</v>
      </c>
      <c r="G12" s="152" t="n">
        <v>-12350</v>
      </c>
      <c r="H12" s="167"/>
      <c r="I12" s="168" t="s">
        <v>188</v>
      </c>
      <c r="J12" s="170"/>
      <c r="K12" s="170" t="n">
        <v>-21000</v>
      </c>
      <c r="L12" s="171" t="n">
        <f aca="false">SUM(J12:K12)</f>
        <v>-21000</v>
      </c>
      <c r="N12" s="167" t="n">
        <v>302</v>
      </c>
      <c r="O12" s="168" t="s">
        <v>188</v>
      </c>
      <c r="P12" s="170"/>
      <c r="Q12" s="170" t="n">
        <v>-21000</v>
      </c>
      <c r="R12" s="174" t="n">
        <f aca="false">SUM(P12:Q12)</f>
        <v>-21000</v>
      </c>
      <c r="T12" s="167" t="n">
        <v>303</v>
      </c>
      <c r="U12" s="168" t="s">
        <v>189</v>
      </c>
      <c r="V12" s="170"/>
      <c r="W12" s="170" t="n">
        <f aca="false">-400*36</f>
        <v>-14400</v>
      </c>
      <c r="X12" s="180" t="n">
        <f aca="false">SUM(V12:W12)</f>
        <v>-14400</v>
      </c>
      <c r="AA12" s="167" t="n">
        <v>303</v>
      </c>
      <c r="AB12" s="168" t="s">
        <v>190</v>
      </c>
      <c r="AC12" s="170"/>
      <c r="AD12" s="170" t="n">
        <v>-18000</v>
      </c>
      <c r="AE12" s="174" t="n">
        <f aca="false">SUM(AC12:AD12)</f>
        <v>-18000</v>
      </c>
      <c r="AH12" s="167" t="n">
        <v>303</v>
      </c>
      <c r="AI12" s="168" t="s">
        <v>190</v>
      </c>
      <c r="AJ12" s="170"/>
      <c r="AK12" s="170" t="n">
        <v>-18000</v>
      </c>
      <c r="AL12" s="177" t="n">
        <f aca="false">SUM(AJ12:AK12)</f>
        <v>-18000</v>
      </c>
      <c r="AN12" s="156"/>
      <c r="AP12" s="158"/>
      <c r="AQ12" s="158"/>
      <c r="AT12" s="167" t="n">
        <v>303</v>
      </c>
      <c r="AU12" s="168" t="s">
        <v>190</v>
      </c>
      <c r="AV12" s="170"/>
      <c r="AW12" s="170" t="n">
        <v>-18000</v>
      </c>
      <c r="AX12" s="177" t="n">
        <f aca="false">SUM(AV12:AW12)</f>
        <v>-18000</v>
      </c>
      <c r="AZ12" s="156"/>
      <c r="BB12" s="158"/>
      <c r="BC12" s="158"/>
      <c r="BF12" s="167" t="n">
        <v>303</v>
      </c>
      <c r="BG12" s="168" t="s">
        <v>129</v>
      </c>
      <c r="BH12" s="170"/>
      <c r="BI12" s="170" t="n">
        <f aca="false">-BO9*450*1.11</f>
        <v>-17982</v>
      </c>
      <c r="BJ12" s="177" t="n">
        <f aca="false">SUM(BH12:BI12)</f>
        <v>-17982</v>
      </c>
      <c r="BL12" s="156"/>
      <c r="BN12" s="158"/>
      <c r="BO12" s="158"/>
      <c r="BT12" s="167" t="n">
        <v>303</v>
      </c>
      <c r="BU12" s="168" t="s">
        <v>52</v>
      </c>
      <c r="BV12" s="170"/>
      <c r="BW12" s="170" t="n">
        <f aca="false">-CC9*450</f>
        <v>-16200</v>
      </c>
      <c r="BX12" s="177" t="n">
        <f aca="false">SUM(BV12:BW12)</f>
        <v>-16200</v>
      </c>
      <c r="BZ12" s="156"/>
      <c r="CB12" s="158"/>
      <c r="CC12" s="158"/>
    </row>
    <row r="13" customFormat="false" ht="12.85" hidden="false" customHeight="false" outlineLevel="0" collapsed="false">
      <c r="A13" s="167"/>
      <c r="B13" s="168"/>
      <c r="C13" s="170"/>
      <c r="D13" s="170"/>
      <c r="E13" s="171"/>
      <c r="H13" s="167"/>
      <c r="I13" s="168"/>
      <c r="J13" s="170"/>
      <c r="K13" s="170"/>
      <c r="L13" s="171"/>
      <c r="N13" s="167"/>
      <c r="O13" s="168"/>
      <c r="P13" s="170"/>
      <c r="Q13" s="170"/>
      <c r="R13" s="174"/>
      <c r="T13" s="181" t="n">
        <v>304</v>
      </c>
      <c r="U13" s="168" t="s">
        <v>191</v>
      </c>
      <c r="V13" s="170"/>
      <c r="W13" s="170" t="n">
        <f aca="false">-400*6</f>
        <v>-2400</v>
      </c>
      <c r="X13" s="180" t="n">
        <f aca="false">SUM(V13:W13)</f>
        <v>-2400</v>
      </c>
      <c r="AA13" s="181" t="n">
        <v>304</v>
      </c>
      <c r="AB13" s="168" t="s">
        <v>192</v>
      </c>
      <c r="AC13" s="170"/>
      <c r="AD13" s="170" t="n">
        <v>-3000</v>
      </c>
      <c r="AE13" s="182" t="n">
        <f aca="false">SUM(AC13:AD13)</f>
        <v>-3000</v>
      </c>
      <c r="AH13" s="181" t="n">
        <v>304</v>
      </c>
      <c r="AI13" s="168" t="s">
        <v>192</v>
      </c>
      <c r="AJ13" s="170"/>
      <c r="AK13" s="170" t="n">
        <v>-3000</v>
      </c>
      <c r="AL13" s="183" t="n">
        <f aca="false">SUM(AJ13:AK13)</f>
        <v>-3000</v>
      </c>
      <c r="AN13" s="156"/>
      <c r="AP13" s="158"/>
      <c r="AQ13" s="158"/>
      <c r="AT13" s="181" t="n">
        <v>304</v>
      </c>
      <c r="AU13" s="168" t="s">
        <v>192</v>
      </c>
      <c r="AV13" s="170"/>
      <c r="AW13" s="170" t="n">
        <v>-3000</v>
      </c>
      <c r="AX13" s="183" t="n">
        <f aca="false">SUM(AV13:AW13)</f>
        <v>-3000</v>
      </c>
      <c r="AZ13" s="156"/>
      <c r="BB13" s="158"/>
      <c r="BC13" s="158"/>
      <c r="BF13" s="181" t="n">
        <v>304</v>
      </c>
      <c r="BG13" s="168" t="s">
        <v>130</v>
      </c>
      <c r="BH13" s="170"/>
      <c r="BI13" s="170" t="n">
        <f aca="false">-6*450*1.11</f>
        <v>-2997</v>
      </c>
      <c r="BJ13" s="183" t="n">
        <f aca="false">SUM(BH13:BI13)</f>
        <v>-2997</v>
      </c>
      <c r="BL13" s="156"/>
      <c r="BN13" s="158"/>
      <c r="BO13" s="158"/>
      <c r="BT13" s="181" t="n">
        <v>304</v>
      </c>
      <c r="BU13" s="168" t="s">
        <v>53</v>
      </c>
      <c r="BV13" s="170"/>
      <c r="BW13" s="170" t="n">
        <f aca="false">-6*450</f>
        <v>-2700</v>
      </c>
      <c r="BX13" s="183" t="n">
        <f aca="false">SUM(BV13:BW13)</f>
        <v>-2700</v>
      </c>
      <c r="BZ13" s="156"/>
      <c r="CB13" s="158"/>
      <c r="CC13" s="158"/>
    </row>
    <row r="14" customFormat="false" ht="12.85" hidden="false" customHeight="false" outlineLevel="0" collapsed="false">
      <c r="A14" s="181"/>
      <c r="B14" s="178" t="s">
        <v>193</v>
      </c>
      <c r="C14" s="179"/>
      <c r="D14" s="179" t="n">
        <f aca="false">-(3960+500)</f>
        <v>-4460</v>
      </c>
      <c r="E14" s="184" t="n">
        <f aca="false">SUM(C14:D14)</f>
        <v>-4460</v>
      </c>
      <c r="G14" s="152" t="n">
        <v>-2950</v>
      </c>
      <c r="H14" s="181"/>
      <c r="I14" s="178" t="s">
        <v>194</v>
      </c>
      <c r="J14" s="179"/>
      <c r="K14" s="179" t="n">
        <f aca="false">-(3960+500)</f>
        <v>-4460</v>
      </c>
      <c r="L14" s="184" t="n">
        <f aca="false">SUM(J14:K14)</f>
        <v>-4460</v>
      </c>
      <c r="N14" s="181" t="n">
        <v>303</v>
      </c>
      <c r="O14" s="178" t="s">
        <v>194</v>
      </c>
      <c r="P14" s="179"/>
      <c r="Q14" s="179" t="n">
        <f aca="false">-(3960+500)</f>
        <v>-4460</v>
      </c>
      <c r="R14" s="185" t="n">
        <f aca="false">SUM(P14:Q14)</f>
        <v>-4460</v>
      </c>
      <c r="T14" s="181" t="n">
        <v>305</v>
      </c>
      <c r="U14" s="178" t="s">
        <v>194</v>
      </c>
      <c r="V14" s="179"/>
      <c r="W14" s="179" t="n">
        <f aca="false">-(4680+600)</f>
        <v>-5280</v>
      </c>
      <c r="X14" s="180" t="n">
        <f aca="false">SUM(V14:W14)</f>
        <v>-5280</v>
      </c>
      <c r="AA14" s="181" t="n">
        <v>305</v>
      </c>
      <c r="AB14" s="178" t="s">
        <v>194</v>
      </c>
      <c r="AC14" s="179"/>
      <c r="AD14" s="179" t="n">
        <f aca="false">-(4680+600)</f>
        <v>-5280</v>
      </c>
      <c r="AE14" s="186" t="n">
        <f aca="false">SUM(AC14:AD14)</f>
        <v>-5280</v>
      </c>
      <c r="AH14" s="181" t="n">
        <v>305</v>
      </c>
      <c r="AI14" s="178" t="s">
        <v>194</v>
      </c>
      <c r="AJ14" s="179"/>
      <c r="AK14" s="179" t="n">
        <f aca="false">-(4680+600)</f>
        <v>-5280</v>
      </c>
      <c r="AL14" s="187" t="n">
        <f aca="false">SUM(AJ14:AK14)</f>
        <v>-5280</v>
      </c>
      <c r="AN14" s="156"/>
      <c r="AP14" s="158"/>
      <c r="AQ14" s="158"/>
      <c r="AT14" s="181" t="n">
        <v>305</v>
      </c>
      <c r="AU14" s="178" t="s">
        <v>194</v>
      </c>
      <c r="AV14" s="179"/>
      <c r="AW14" s="179" t="n">
        <f aca="false">-(4680+600)</f>
        <v>-5280</v>
      </c>
      <c r="AX14" s="187" t="n">
        <f aca="false">SUM(AV14:AW14)</f>
        <v>-5280</v>
      </c>
      <c r="AZ14" s="156"/>
      <c r="BB14" s="158"/>
      <c r="BC14" s="158"/>
      <c r="BF14" s="181" t="n">
        <v>305</v>
      </c>
      <c r="BG14" s="178" t="s">
        <v>131</v>
      </c>
      <c r="BH14" s="179"/>
      <c r="BI14" s="179" t="n">
        <f aca="false">-(BO9*70*2+500)*1.11</f>
        <v>-6149.4</v>
      </c>
      <c r="BJ14" s="187" t="n">
        <f aca="false">SUM(BH14:BI14)</f>
        <v>-6149.4</v>
      </c>
      <c r="BL14" s="156"/>
      <c r="BN14" s="158"/>
      <c r="BO14" s="158"/>
      <c r="BT14" s="181" t="n">
        <v>305</v>
      </c>
      <c r="BU14" s="178" t="s">
        <v>54</v>
      </c>
      <c r="BV14" s="179"/>
      <c r="BW14" s="179" t="n">
        <f aca="false">-(CC9*70*2+500)</f>
        <v>-5540</v>
      </c>
      <c r="BX14" s="187" t="n">
        <f aca="false">SUM(BV14:BW14)</f>
        <v>-5540</v>
      </c>
      <c r="BZ14" s="156"/>
      <c r="CB14" s="158"/>
      <c r="CC14" s="158"/>
    </row>
    <row r="15" customFormat="false" ht="13.4" hidden="false" customHeight="false" outlineLevel="0" collapsed="false">
      <c r="A15" s="181"/>
      <c r="B15" s="178" t="s">
        <v>195</v>
      </c>
      <c r="C15" s="188" t="n">
        <v>14400</v>
      </c>
      <c r="D15" s="179"/>
      <c r="E15" s="184" t="n">
        <f aca="false">SUM(C15:D15)</f>
        <v>14400</v>
      </c>
      <c r="G15" s="189" t="n">
        <v>12950</v>
      </c>
      <c r="H15" s="181"/>
      <c r="I15" s="190" t="s">
        <v>196</v>
      </c>
      <c r="J15" s="179" t="n">
        <f aca="false">800*36</f>
        <v>28800</v>
      </c>
      <c r="K15" s="179"/>
      <c r="L15" s="184" t="n">
        <f aca="false">SUM(J15:K15)</f>
        <v>28800</v>
      </c>
      <c r="N15" s="181" t="n">
        <v>304</v>
      </c>
      <c r="O15" s="178" t="s">
        <v>197</v>
      </c>
      <c r="P15" s="179" t="n">
        <v>18000</v>
      </c>
      <c r="Q15" s="179"/>
      <c r="R15" s="185" t="n">
        <f aca="false">SUM(P15:Q15)</f>
        <v>18000</v>
      </c>
      <c r="T15" s="181" t="n">
        <v>306</v>
      </c>
      <c r="U15" s="178" t="s">
        <v>198</v>
      </c>
      <c r="V15" s="179" t="n">
        <f aca="false">500*36</f>
        <v>18000</v>
      </c>
      <c r="W15" s="179"/>
      <c r="X15" s="180" t="n">
        <f aca="false">SUM(V15:W15)</f>
        <v>18000</v>
      </c>
      <c r="AA15" s="181" t="n">
        <v>306</v>
      </c>
      <c r="AB15" s="178" t="s">
        <v>199</v>
      </c>
      <c r="AC15" s="179" t="n">
        <v>36000</v>
      </c>
      <c r="AD15" s="179"/>
      <c r="AE15" s="185" t="n">
        <f aca="false">SUM(AC15:AD15)</f>
        <v>36000</v>
      </c>
      <c r="AH15" s="181" t="n">
        <v>306</v>
      </c>
      <c r="AI15" s="178" t="s">
        <v>200</v>
      </c>
      <c r="AJ15" s="179" t="n">
        <f aca="false">AQ9*AQ17</f>
        <v>26948</v>
      </c>
      <c r="AK15" s="179"/>
      <c r="AL15" s="191" t="n">
        <f aca="false">SUM(AJ15:AK15)</f>
        <v>26948</v>
      </c>
      <c r="AN15" s="156"/>
      <c r="AP15" s="158"/>
      <c r="AQ15" s="158"/>
      <c r="AT15" s="181" t="n">
        <v>306</v>
      </c>
      <c r="AU15" s="178" t="s">
        <v>201</v>
      </c>
      <c r="AV15" s="179" t="n">
        <f aca="false">BC9*BC17</f>
        <v>24680</v>
      </c>
      <c r="AW15" s="179"/>
      <c r="AX15" s="191" t="n">
        <f aca="false">SUM(AV15:AW15)</f>
        <v>24680</v>
      </c>
      <c r="AZ15" s="156"/>
      <c r="BB15" s="158"/>
      <c r="BC15" s="158"/>
      <c r="BF15" s="181" t="n">
        <v>306</v>
      </c>
      <c r="BG15" s="178" t="s">
        <v>202</v>
      </c>
      <c r="BH15" s="179" t="n">
        <f aca="false">BO9*BP17</f>
        <v>30600</v>
      </c>
      <c r="BI15" s="179"/>
      <c r="BJ15" s="191" t="n">
        <f aca="false">SUM(BH15:BI15)</f>
        <v>30600</v>
      </c>
      <c r="BL15" s="156"/>
      <c r="BN15" s="158"/>
      <c r="BO15" s="158"/>
      <c r="BT15" s="181" t="n">
        <v>306</v>
      </c>
      <c r="BU15" s="178" t="s">
        <v>203</v>
      </c>
      <c r="BV15" s="179" t="n">
        <f aca="false">CC9*CD17</f>
        <v>21960</v>
      </c>
      <c r="BW15" s="179"/>
      <c r="BX15" s="191" t="n">
        <f aca="false">SUM(BV15:BW15)</f>
        <v>21960</v>
      </c>
      <c r="BZ15" s="156"/>
      <c r="CB15" s="158"/>
      <c r="CC15" s="158"/>
    </row>
    <row r="16" customFormat="false" ht="12.85" hidden="false" customHeight="false" outlineLevel="0" collapsed="false">
      <c r="A16" s="181"/>
      <c r="B16" s="178"/>
      <c r="C16" s="179"/>
      <c r="D16" s="179"/>
      <c r="E16" s="184" t="n">
        <f aca="false">SUM(C16:D16)</f>
        <v>0</v>
      </c>
      <c r="H16" s="181"/>
      <c r="I16" s="178" t="s">
        <v>186</v>
      </c>
      <c r="J16" s="179"/>
      <c r="K16" s="179" t="n">
        <v>-1600</v>
      </c>
      <c r="L16" s="184" t="n">
        <f aca="false">SUM(J16:K16)</f>
        <v>-1600</v>
      </c>
      <c r="N16" s="181" t="n">
        <v>305</v>
      </c>
      <c r="O16" s="178" t="s">
        <v>186</v>
      </c>
      <c r="P16" s="179"/>
      <c r="Q16" s="179" t="n">
        <v>-1600</v>
      </c>
      <c r="R16" s="185" t="n">
        <f aca="false">SUM(P16:Q16)</f>
        <v>-1600</v>
      </c>
      <c r="T16" s="192" t="n">
        <v>307</v>
      </c>
      <c r="U16" s="193" t="s">
        <v>204</v>
      </c>
      <c r="V16" s="194" t="n">
        <v>0</v>
      </c>
      <c r="W16" s="178"/>
      <c r="X16" s="195" t="n">
        <f aca="false">SUM(V17:W17)</f>
        <v>0</v>
      </c>
      <c r="AA16" s="192" t="n">
        <v>307</v>
      </c>
      <c r="AB16" s="178" t="s">
        <v>186</v>
      </c>
      <c r="AC16" s="179"/>
      <c r="AD16" s="179" t="n">
        <v>-1600</v>
      </c>
      <c r="AE16" s="185" t="n">
        <f aca="false">SUM(AC16:AD16)</f>
        <v>-1600</v>
      </c>
      <c r="AH16" s="192" t="n">
        <v>307</v>
      </c>
      <c r="AI16" s="178" t="s">
        <v>56</v>
      </c>
      <c r="AJ16" s="179"/>
      <c r="AK16" s="179" t="n">
        <v>0</v>
      </c>
      <c r="AL16" s="191" t="n">
        <f aca="false">SUM(AJ16:AK16)</f>
        <v>0</v>
      </c>
      <c r="AN16" s="156"/>
      <c r="AP16" s="158"/>
      <c r="AQ16" s="158"/>
      <c r="AT16" s="192" t="n">
        <v>307</v>
      </c>
      <c r="AU16" s="178" t="s">
        <v>56</v>
      </c>
      <c r="AV16" s="179"/>
      <c r="AW16" s="179" t="n">
        <v>0</v>
      </c>
      <c r="AX16" s="191" t="n">
        <f aca="false">SUM(AV16:AW16)</f>
        <v>0</v>
      </c>
      <c r="AZ16" s="156"/>
      <c r="BB16" s="158"/>
      <c r="BC16" s="158"/>
      <c r="BF16" s="192" t="n">
        <v>307</v>
      </c>
      <c r="BG16" s="178" t="s">
        <v>56</v>
      </c>
      <c r="BH16" s="179" t="n">
        <v>0</v>
      </c>
      <c r="BI16" s="179"/>
      <c r="BJ16" s="191" t="n">
        <f aca="false">SUM(BH16:BI16)</f>
        <v>0</v>
      </c>
      <c r="BL16" s="156"/>
      <c r="BN16" s="158"/>
      <c r="BO16" s="158"/>
      <c r="BT16" s="192" t="n">
        <v>307</v>
      </c>
      <c r="BU16" s="178" t="s">
        <v>56</v>
      </c>
      <c r="BV16" s="179" t="n">
        <v>0</v>
      </c>
      <c r="BW16" s="179"/>
      <c r="BX16" s="191" t="n">
        <f aca="false">SUM(BV16:BW16)</f>
        <v>0</v>
      </c>
      <c r="BZ16" s="156"/>
      <c r="CB16" s="158"/>
      <c r="CC16" s="158"/>
    </row>
    <row r="17" customFormat="false" ht="12.85" hidden="false" customHeight="false" outlineLevel="0" collapsed="false">
      <c r="A17" s="192"/>
      <c r="B17" s="196"/>
      <c r="C17" s="197"/>
      <c r="D17" s="197"/>
      <c r="E17" s="198" t="n">
        <f aca="false">SUM(C17:D17)</f>
        <v>0</v>
      </c>
      <c r="H17" s="192"/>
      <c r="I17" s="196" t="s">
        <v>205</v>
      </c>
      <c r="J17" s="197"/>
      <c r="K17" s="197" t="n">
        <v>-1400</v>
      </c>
      <c r="L17" s="198" t="n">
        <f aca="false">SUM(J17:K17)</f>
        <v>-1400</v>
      </c>
      <c r="N17" s="192" t="n">
        <v>306</v>
      </c>
      <c r="O17" s="196" t="s">
        <v>205</v>
      </c>
      <c r="P17" s="197"/>
      <c r="Q17" s="197" t="n">
        <v>-1400</v>
      </c>
      <c r="R17" s="199" t="n">
        <f aca="false">SUM(P17:Q17)</f>
        <v>-1400</v>
      </c>
      <c r="T17" s="192" t="n">
        <v>308</v>
      </c>
      <c r="U17" s="196" t="s">
        <v>205</v>
      </c>
      <c r="V17" s="197"/>
      <c r="W17" s="197" t="n">
        <v>0</v>
      </c>
      <c r="X17" s="195" t="n">
        <f aca="false">SUM(V18:W18)</f>
        <v>0</v>
      </c>
      <c r="AA17" s="192" t="n">
        <v>308</v>
      </c>
      <c r="AB17" s="196" t="s">
        <v>205</v>
      </c>
      <c r="AC17" s="197"/>
      <c r="AD17" s="197" t="n">
        <v>-1400</v>
      </c>
      <c r="AE17" s="199" t="n">
        <f aca="false">SUM(AC17:AD17)</f>
        <v>-1400</v>
      </c>
      <c r="AH17" s="192" t="n">
        <v>308</v>
      </c>
      <c r="AI17" s="196" t="s">
        <v>205</v>
      </c>
      <c r="AJ17" s="197"/>
      <c r="AK17" s="197" t="n">
        <v>-1400</v>
      </c>
      <c r="AL17" s="200" t="n">
        <f aca="false">SUM(AJ17:AK17)</f>
        <v>-1400</v>
      </c>
      <c r="AN17" s="156"/>
      <c r="AP17" s="157" t="s">
        <v>58</v>
      </c>
      <c r="AQ17" s="201" t="n">
        <f aca="false">(ABS(SUM(AK10:AK17))-AN9)/AQ9</f>
        <v>748.555555555556</v>
      </c>
      <c r="AT17" s="192" t="n">
        <v>308</v>
      </c>
      <c r="AU17" s="196" t="s">
        <v>205</v>
      </c>
      <c r="AV17" s="197"/>
      <c r="AW17" s="197" t="n">
        <v>-1400</v>
      </c>
      <c r="AX17" s="200" t="n">
        <f aca="false">SUM(AV17:AW17)</f>
        <v>-1400</v>
      </c>
      <c r="AZ17" s="156"/>
      <c r="BB17" s="157" t="s">
        <v>58</v>
      </c>
      <c r="BC17" s="201" t="n">
        <f aca="false">(ABS(SUM(AW10:AW17))-AZ9)/BC9</f>
        <v>685.555555555556</v>
      </c>
      <c r="BF17" s="192" t="n">
        <v>308</v>
      </c>
      <c r="BG17" s="202" t="s">
        <v>133</v>
      </c>
      <c r="BH17" s="197"/>
      <c r="BI17" s="197" t="n">
        <f aca="false">-(20*BO9*2)*1.11</f>
        <v>-1598.4</v>
      </c>
      <c r="BJ17" s="200" t="n">
        <f aca="false">SUM(BH17:BI17)</f>
        <v>-1598.4</v>
      </c>
      <c r="BL17" s="156"/>
      <c r="BN17" s="157" t="s">
        <v>58</v>
      </c>
      <c r="BO17" s="201" t="n">
        <f aca="false">(ABS(SUM(BI10:BI17))-BL9)/BO9</f>
        <v>850.744444444445</v>
      </c>
      <c r="BP17" s="203" t="n">
        <v>850</v>
      </c>
      <c r="BT17" s="192" t="n">
        <v>308</v>
      </c>
      <c r="BU17" s="202" t="s">
        <v>133</v>
      </c>
      <c r="BV17" s="197"/>
      <c r="BW17" s="197" t="n">
        <f aca="false">-(20*CC9*2)</f>
        <v>-1440</v>
      </c>
      <c r="BX17" s="200" t="n">
        <f aca="false">SUM(BV17:BW17)</f>
        <v>-1440</v>
      </c>
      <c r="BZ17" s="156"/>
      <c r="CB17" s="157" t="s">
        <v>58</v>
      </c>
      <c r="CC17" s="201" t="n">
        <f aca="false">(ABS(SUM(BW10:BW17))-BZ9)/CC9</f>
        <v>607.777777777778</v>
      </c>
      <c r="CD17" s="203" t="n">
        <v>610</v>
      </c>
    </row>
    <row r="18" customFormat="false" ht="12.85" hidden="false" customHeight="false" outlineLevel="0" collapsed="false">
      <c r="E18" s="204" t="n">
        <f aca="false">SUM(E10:E17)</f>
        <v>-14060</v>
      </c>
      <c r="F18" s="152" t="n">
        <v>-14600</v>
      </c>
      <c r="G18" s="152" t="n">
        <f aca="false">SUM(G10:G17)</f>
        <v>-7968</v>
      </c>
      <c r="L18" s="204" t="n">
        <f aca="false">SUM(L10:L17)</f>
        <v>-19660</v>
      </c>
      <c r="P18" s="152"/>
      <c r="Q18" s="152"/>
      <c r="R18" s="205" t="n">
        <f aca="false">SUM(R10:R17)</f>
        <v>-30460</v>
      </c>
      <c r="V18" s="152"/>
      <c r="W18" s="152"/>
      <c r="X18" s="204" t="n">
        <f aca="false">SUM(X10:X16)</f>
        <v>-14080</v>
      </c>
      <c r="AB18" s="193" t="s">
        <v>206</v>
      </c>
      <c r="AC18" s="152"/>
      <c r="AD18" s="152"/>
      <c r="AE18" s="204" t="n">
        <f aca="false">SUM(AE10:AE17)</f>
        <v>-15280</v>
      </c>
      <c r="AI18" s="193" t="s">
        <v>206</v>
      </c>
      <c r="AJ18" s="152"/>
      <c r="AK18" s="152"/>
      <c r="AL18" s="204" t="n">
        <f aca="false">SUM(AL10:AL17)</f>
        <v>-9000</v>
      </c>
      <c r="AN18" s="156"/>
      <c r="AP18" s="157" t="s">
        <v>77</v>
      </c>
      <c r="AQ18" s="158"/>
      <c r="AU18" s="193" t="s">
        <v>206</v>
      </c>
      <c r="AV18" s="152"/>
      <c r="AW18" s="152"/>
      <c r="AX18" s="204" t="n">
        <f aca="false">SUM(AX10:AX17)</f>
        <v>-3000</v>
      </c>
      <c r="AZ18" s="156"/>
      <c r="BB18" s="157" t="s">
        <v>77</v>
      </c>
      <c r="BC18" s="158"/>
      <c r="BG18" s="193"/>
      <c r="BH18" s="206" t="n">
        <f aca="false">SUM(BH10:BH17)</f>
        <v>30600</v>
      </c>
      <c r="BI18" s="206" t="n">
        <f aca="false">SUM(BI10:BI17)</f>
        <v>-41626.8</v>
      </c>
      <c r="BJ18" s="204" t="n">
        <f aca="false">SUM(BJ10:BJ17)</f>
        <v>-11026.8</v>
      </c>
      <c r="BL18" s="156"/>
      <c r="BN18" s="157" t="s">
        <v>59</v>
      </c>
      <c r="BO18" s="207" t="n">
        <f aca="false">-(BI14+BI17)/BO9</f>
        <v>215.216666666667</v>
      </c>
      <c r="BU18" s="193"/>
      <c r="BV18" s="206" t="n">
        <f aca="false">SUM(BV10:BV17)</f>
        <v>21960</v>
      </c>
      <c r="BW18" s="206" t="n">
        <f aca="false">SUM(BW10:BW17)</f>
        <v>-25880</v>
      </c>
      <c r="BX18" s="204" t="n">
        <f aca="false">SUM(BX10:BX17)</f>
        <v>-3920</v>
      </c>
      <c r="BZ18" s="156"/>
      <c r="CB18" s="157" t="s">
        <v>59</v>
      </c>
      <c r="CC18" s="207" t="n">
        <f aca="false">-(BW14+BW17)/CC9</f>
        <v>193.888888888889</v>
      </c>
    </row>
    <row r="19" customFormat="false" ht="12.85" hidden="false" customHeight="false" outlineLevel="0" collapsed="false">
      <c r="N19" s="208"/>
      <c r="O19" s="208" t="s">
        <v>207</v>
      </c>
      <c r="P19" s="209"/>
      <c r="Q19" s="209"/>
      <c r="R19" s="210"/>
      <c r="V19" s="152"/>
      <c r="W19" s="152"/>
      <c r="AC19" s="152"/>
      <c r="AD19" s="152"/>
      <c r="AJ19" s="152"/>
      <c r="AK19" s="152"/>
      <c r="AN19" s="156"/>
      <c r="AP19" s="158"/>
      <c r="AQ19" s="158"/>
      <c r="AV19" s="152"/>
      <c r="AW19" s="152"/>
      <c r="AZ19" s="156"/>
      <c r="BB19" s="158"/>
      <c r="BC19" s="158"/>
      <c r="BH19" s="152"/>
      <c r="BI19" s="152"/>
      <c r="BL19" s="156"/>
      <c r="BN19" s="158"/>
      <c r="BO19" s="158"/>
      <c r="BV19" s="152"/>
      <c r="BW19" s="152"/>
      <c r="BZ19" s="156"/>
      <c r="CB19" s="158"/>
      <c r="CC19" s="158"/>
    </row>
    <row r="20" customFormat="false" ht="12.85" hidden="false" customHeight="false" outlineLevel="0" collapsed="false">
      <c r="V20" s="152"/>
      <c r="W20" s="152"/>
      <c r="AC20" s="152"/>
      <c r="AD20" s="152"/>
      <c r="AJ20" s="152"/>
      <c r="AK20" s="152"/>
      <c r="AN20" s="156"/>
      <c r="AP20" s="158"/>
      <c r="AQ20" s="158"/>
      <c r="AV20" s="152"/>
      <c r="AW20" s="152"/>
      <c r="AZ20" s="156"/>
      <c r="BB20" s="158"/>
      <c r="BC20" s="158"/>
      <c r="BH20" s="152"/>
      <c r="BI20" s="152"/>
      <c r="BL20" s="156"/>
      <c r="BN20" s="158"/>
      <c r="BO20" s="158"/>
      <c r="BV20" s="152"/>
      <c r="BW20" s="152"/>
      <c r="BZ20" s="156"/>
      <c r="CB20" s="158"/>
      <c r="CC20" s="158"/>
    </row>
    <row r="21" customFormat="false" ht="19.4" hidden="false" customHeight="false" outlineLevel="0" collapsed="false">
      <c r="B21" s="160" t="s">
        <v>208</v>
      </c>
      <c r="I21" s="160" t="s">
        <v>209</v>
      </c>
      <c r="O21" s="160" t="s">
        <v>210</v>
      </c>
      <c r="P21" s="152"/>
      <c r="Q21" s="152"/>
      <c r="U21" s="160" t="s">
        <v>211</v>
      </c>
      <c r="V21" s="152"/>
      <c r="W21" s="152"/>
      <c r="Z21" s="154"/>
      <c r="AB21" s="160" t="s">
        <v>212</v>
      </c>
      <c r="AC21" s="152"/>
      <c r="AD21" s="152"/>
      <c r="AI21" s="160" t="s">
        <v>213</v>
      </c>
      <c r="AJ21" s="152"/>
      <c r="AK21" s="152"/>
      <c r="AN21" s="156"/>
      <c r="AP21" s="158"/>
      <c r="AQ21" s="158"/>
      <c r="AU21" s="160" t="s">
        <v>214</v>
      </c>
      <c r="AV21" s="152"/>
      <c r="AW21" s="152"/>
      <c r="AZ21" s="156"/>
      <c r="BB21" s="158"/>
      <c r="BC21" s="158"/>
      <c r="BG21" s="160" t="s">
        <v>215</v>
      </c>
      <c r="BH21" s="152"/>
      <c r="BI21" s="152"/>
      <c r="BL21" s="156"/>
      <c r="BN21" s="158"/>
      <c r="BO21" s="158"/>
      <c r="BU21" s="160" t="s">
        <v>216</v>
      </c>
      <c r="BV21" s="152"/>
      <c r="BW21" s="152"/>
      <c r="BZ21" s="156"/>
      <c r="CB21" s="158"/>
      <c r="CC21" s="158"/>
    </row>
    <row r="22" customFormat="false" ht="12.85" hidden="false" customHeight="false" outlineLevel="0" collapsed="false">
      <c r="P22" s="152"/>
      <c r="Q22" s="152"/>
      <c r="V22" s="152"/>
      <c r="W22" s="152"/>
      <c r="AC22" s="152"/>
      <c r="AD22" s="152"/>
      <c r="AJ22" s="152"/>
      <c r="AK22" s="152"/>
      <c r="AN22" s="156"/>
      <c r="AP22" s="158"/>
      <c r="AQ22" s="158"/>
      <c r="AV22" s="152"/>
      <c r="AW22" s="152"/>
      <c r="AZ22" s="156"/>
      <c r="BB22" s="158"/>
      <c r="BC22" s="158"/>
      <c r="BH22" s="152"/>
      <c r="BI22" s="152"/>
      <c r="BL22" s="156"/>
      <c r="BN22" s="158"/>
      <c r="BO22" s="158"/>
      <c r="BV22" s="152"/>
      <c r="BW22" s="152"/>
      <c r="BZ22" s="156"/>
      <c r="CB22" s="158"/>
      <c r="CC22" s="158"/>
    </row>
    <row r="23" customFormat="false" ht="17.65" hidden="false" customHeight="false" outlineLevel="0" collapsed="false">
      <c r="A23" s="161" t="s">
        <v>45</v>
      </c>
      <c r="B23" s="162" t="s">
        <v>46</v>
      </c>
      <c r="C23" s="163" t="s">
        <v>47</v>
      </c>
      <c r="D23" s="163" t="s">
        <v>48</v>
      </c>
      <c r="E23" s="164" t="s">
        <v>4</v>
      </c>
      <c r="G23" s="152" t="s">
        <v>217</v>
      </c>
      <c r="H23" s="161" t="s">
        <v>45</v>
      </c>
      <c r="I23" s="162" t="s">
        <v>46</v>
      </c>
      <c r="J23" s="163" t="s">
        <v>47</v>
      </c>
      <c r="K23" s="163" t="s">
        <v>48</v>
      </c>
      <c r="L23" s="164" t="s">
        <v>4</v>
      </c>
      <c r="N23" s="161" t="s">
        <v>45</v>
      </c>
      <c r="O23" s="162" t="s">
        <v>46</v>
      </c>
      <c r="P23" s="163" t="s">
        <v>47</v>
      </c>
      <c r="Q23" s="163" t="s">
        <v>48</v>
      </c>
      <c r="R23" s="165" t="s">
        <v>4</v>
      </c>
      <c r="T23" s="161" t="s">
        <v>45</v>
      </c>
      <c r="U23" s="162" t="s">
        <v>46</v>
      </c>
      <c r="V23" s="163" t="s">
        <v>47</v>
      </c>
      <c r="W23" s="163" t="s">
        <v>48</v>
      </c>
      <c r="X23" s="164" t="s">
        <v>4</v>
      </c>
      <c r="AA23" s="161" t="s">
        <v>45</v>
      </c>
      <c r="AB23" s="162" t="s">
        <v>46</v>
      </c>
      <c r="AC23" s="163" t="s">
        <v>47</v>
      </c>
      <c r="AD23" s="163" t="s">
        <v>48</v>
      </c>
      <c r="AE23" s="164" t="s">
        <v>4</v>
      </c>
      <c r="AH23" s="161" t="s">
        <v>45</v>
      </c>
      <c r="AI23" s="162" t="s">
        <v>46</v>
      </c>
      <c r="AJ23" s="163" t="s">
        <v>47</v>
      </c>
      <c r="AK23" s="163" t="s">
        <v>48</v>
      </c>
      <c r="AL23" s="164" t="s">
        <v>4</v>
      </c>
      <c r="AN23" s="156" t="n">
        <v>9000</v>
      </c>
      <c r="AP23" s="157" t="s">
        <v>49</v>
      </c>
      <c r="AQ23" s="166" t="n">
        <v>60</v>
      </c>
      <c r="AT23" s="161" t="s">
        <v>45</v>
      </c>
      <c r="AU23" s="162" t="s">
        <v>46</v>
      </c>
      <c r="AV23" s="163" t="s">
        <v>47</v>
      </c>
      <c r="AW23" s="163" t="s">
        <v>48</v>
      </c>
      <c r="AX23" s="164" t="s">
        <v>4</v>
      </c>
      <c r="AZ23" s="156" t="n">
        <v>20000</v>
      </c>
      <c r="BB23" s="157" t="s">
        <v>49</v>
      </c>
      <c r="BC23" s="166" t="n">
        <v>60</v>
      </c>
      <c r="BF23" s="161" t="s">
        <v>45</v>
      </c>
      <c r="BG23" s="162" t="s">
        <v>46</v>
      </c>
      <c r="BH23" s="163" t="s">
        <v>47</v>
      </c>
      <c r="BI23" s="163" t="s">
        <v>48</v>
      </c>
      <c r="BJ23" s="164" t="s">
        <v>4</v>
      </c>
      <c r="BL23" s="156" t="n">
        <v>9000</v>
      </c>
      <c r="BM23" s="151" t="n">
        <v>18500</v>
      </c>
      <c r="BN23" s="157" t="s">
        <v>49</v>
      </c>
      <c r="BO23" s="166" t="n">
        <v>60</v>
      </c>
      <c r="BT23" s="161" t="s">
        <v>45</v>
      </c>
      <c r="BU23" s="162" t="s">
        <v>46</v>
      </c>
      <c r="BV23" s="163" t="s">
        <v>47</v>
      </c>
      <c r="BW23" s="163" t="s">
        <v>48</v>
      </c>
      <c r="BX23" s="164" t="s">
        <v>4</v>
      </c>
      <c r="BZ23" s="156" t="n">
        <v>7000</v>
      </c>
      <c r="CA23" s="151" t="n">
        <v>18500</v>
      </c>
      <c r="CB23" s="157" t="s">
        <v>49</v>
      </c>
      <c r="CC23" s="166" t="n">
        <v>60</v>
      </c>
    </row>
    <row r="24" customFormat="false" ht="12.85" hidden="false" customHeight="false" outlineLevel="0" collapsed="false">
      <c r="A24" s="167"/>
      <c r="B24" s="168" t="s">
        <v>218</v>
      </c>
      <c r="C24" s="170"/>
      <c r="D24" s="170" t="n">
        <v>-16000</v>
      </c>
      <c r="E24" s="171" t="n">
        <f aca="false">SUM(C24:D24)</f>
        <v>-16000</v>
      </c>
      <c r="G24" s="152" t="n">
        <v>-16430</v>
      </c>
      <c r="H24" s="167"/>
      <c r="I24" s="168" t="s">
        <v>219</v>
      </c>
      <c r="J24" s="170"/>
      <c r="K24" s="170" t="n">
        <v>0</v>
      </c>
      <c r="L24" s="171" t="n">
        <f aca="false">SUM(J24:K24)</f>
        <v>0</v>
      </c>
      <c r="N24" s="167" t="n">
        <v>401</v>
      </c>
      <c r="O24" s="168" t="s">
        <v>219</v>
      </c>
      <c r="P24" s="170"/>
      <c r="Q24" s="170" t="n">
        <v>0</v>
      </c>
      <c r="R24" s="174" t="n">
        <f aca="false">SUM(P24:Q24)</f>
        <v>0</v>
      </c>
      <c r="T24" s="167" t="n">
        <v>401</v>
      </c>
      <c r="U24" s="168" t="s">
        <v>61</v>
      </c>
      <c r="V24" s="170"/>
      <c r="W24" s="170" t="n">
        <v>-12000</v>
      </c>
      <c r="X24" s="211" t="n">
        <f aca="false">SUM(V24:W24)</f>
        <v>-12000</v>
      </c>
      <c r="AA24" s="167" t="n">
        <v>401</v>
      </c>
      <c r="AB24" s="168" t="s">
        <v>61</v>
      </c>
      <c r="AC24" s="170"/>
      <c r="AD24" s="170" t="n">
        <v>-7500</v>
      </c>
      <c r="AE24" s="211" t="n">
        <f aca="false">SUM(AC24:AD24)</f>
        <v>-7500</v>
      </c>
      <c r="AH24" s="167" t="n">
        <v>401</v>
      </c>
      <c r="AI24" s="168" t="s">
        <v>61</v>
      </c>
      <c r="AJ24" s="170"/>
      <c r="AK24" s="212" t="n">
        <v>-11554</v>
      </c>
      <c r="AL24" s="211" t="n">
        <f aca="false">SUM(AJ24:AK24)</f>
        <v>-11554</v>
      </c>
      <c r="AN24" s="156"/>
      <c r="AP24" s="158"/>
      <c r="AQ24" s="158"/>
      <c r="AT24" s="167" t="n">
        <v>401</v>
      </c>
      <c r="AU24" s="168" t="s">
        <v>220</v>
      </c>
      <c r="AV24" s="170"/>
      <c r="AW24" s="212" t="n">
        <v>-30000</v>
      </c>
      <c r="AX24" s="211" t="n">
        <f aca="false">SUM(AV24:AW24)</f>
        <v>-30000</v>
      </c>
      <c r="AZ24" s="156"/>
      <c r="BB24" s="158"/>
      <c r="BC24" s="158"/>
      <c r="BF24" s="167" t="n">
        <v>401</v>
      </c>
      <c r="BG24" s="168" t="s">
        <v>61</v>
      </c>
      <c r="BH24" s="170"/>
      <c r="BI24" s="212" t="n">
        <v>-16000</v>
      </c>
      <c r="BJ24" s="211" t="n">
        <f aca="false">SUM(BH24:BI24)</f>
        <v>-16000</v>
      </c>
      <c r="BL24" s="156"/>
      <c r="BN24" s="158"/>
      <c r="BO24" s="158"/>
      <c r="BT24" s="167" t="n">
        <v>401</v>
      </c>
      <c r="BU24" s="168" t="s">
        <v>61</v>
      </c>
      <c r="BV24" s="170"/>
      <c r="BW24" s="212" t="n">
        <v>-16000</v>
      </c>
      <c r="BX24" s="211" t="n">
        <f aca="false">SUM(BV24:BW24)</f>
        <v>-16000</v>
      </c>
      <c r="BZ24" s="156"/>
      <c r="CB24" s="158"/>
      <c r="CC24" s="158"/>
    </row>
    <row r="25" customFormat="false" ht="12.85" hidden="false" customHeight="false" outlineLevel="0" collapsed="false">
      <c r="A25" s="167"/>
      <c r="B25" s="168" t="s">
        <v>62</v>
      </c>
      <c r="C25" s="170"/>
      <c r="D25" s="170" t="n">
        <v>-1200</v>
      </c>
      <c r="E25" s="171"/>
      <c r="G25" s="152" t="n">
        <v>-790</v>
      </c>
      <c r="H25" s="167"/>
      <c r="I25" s="168" t="s">
        <v>62</v>
      </c>
      <c r="J25" s="170"/>
      <c r="K25" s="170" t="n">
        <v>0</v>
      </c>
      <c r="L25" s="171"/>
      <c r="N25" s="167" t="n">
        <v>402</v>
      </c>
      <c r="O25" s="168" t="s">
        <v>62</v>
      </c>
      <c r="P25" s="170"/>
      <c r="Q25" s="170" t="n">
        <v>0</v>
      </c>
      <c r="R25" s="174"/>
      <c r="T25" s="167" t="n">
        <v>402</v>
      </c>
      <c r="U25" s="168" t="s">
        <v>221</v>
      </c>
      <c r="V25" s="170"/>
      <c r="W25" s="170" t="n">
        <v>-800</v>
      </c>
      <c r="X25" s="175" t="n">
        <f aca="false">SUM(V25:W25)</f>
        <v>-800</v>
      </c>
      <c r="AA25" s="167" t="n">
        <v>402</v>
      </c>
      <c r="AB25" s="168" t="s">
        <v>221</v>
      </c>
      <c r="AC25" s="170"/>
      <c r="AD25" s="170" t="n">
        <v>0</v>
      </c>
      <c r="AE25" s="175" t="n">
        <f aca="false">SUM(AC25:AD25)</f>
        <v>0</v>
      </c>
      <c r="AH25" s="167" t="n">
        <v>402</v>
      </c>
      <c r="AI25" s="168" t="s">
        <v>62</v>
      </c>
      <c r="AJ25" s="170"/>
      <c r="AK25" s="170" t="n">
        <v>-1200</v>
      </c>
      <c r="AL25" s="175" t="n">
        <f aca="false">SUM(AJ25:AK25)</f>
        <v>-1200</v>
      </c>
      <c r="AN25" s="156"/>
      <c r="AP25" s="158"/>
      <c r="AQ25" s="158"/>
      <c r="AT25" s="167" t="n">
        <v>402</v>
      </c>
      <c r="AU25" s="168" t="s">
        <v>222</v>
      </c>
      <c r="AV25" s="170"/>
      <c r="AW25" s="170" t="n">
        <v>-1800</v>
      </c>
      <c r="AX25" s="175" t="n">
        <f aca="false">SUM(AV25:AW25)</f>
        <v>-1800</v>
      </c>
      <c r="AZ25" s="156"/>
      <c r="BB25" s="158"/>
      <c r="BC25" s="158"/>
      <c r="BF25" s="167" t="n">
        <v>402</v>
      </c>
      <c r="BG25" s="168" t="s">
        <v>62</v>
      </c>
      <c r="BH25" s="170"/>
      <c r="BI25" s="170" t="n">
        <v>-1200</v>
      </c>
      <c r="BJ25" s="175" t="n">
        <f aca="false">SUM(BH25:BI25)</f>
        <v>-1200</v>
      </c>
      <c r="BL25" s="156"/>
      <c r="BN25" s="158"/>
      <c r="BO25" s="158"/>
      <c r="BT25" s="167" t="n">
        <v>402</v>
      </c>
      <c r="BU25" s="168" t="s">
        <v>62</v>
      </c>
      <c r="BV25" s="170"/>
      <c r="BW25" s="170" t="n">
        <v>-2000</v>
      </c>
      <c r="BX25" s="175" t="n">
        <f aca="false">SUM(BV25:BW25)</f>
        <v>-2000</v>
      </c>
      <c r="BZ25" s="156"/>
      <c r="CB25" s="158"/>
      <c r="CC25" s="158"/>
    </row>
    <row r="26" customFormat="false" ht="12.85" hidden="false" customHeight="false" outlineLevel="0" collapsed="false">
      <c r="A26" s="181"/>
      <c r="B26" s="178" t="s">
        <v>223</v>
      </c>
      <c r="C26" s="179"/>
      <c r="D26" s="179" t="n">
        <v>-22500</v>
      </c>
      <c r="E26" s="184" t="n">
        <f aca="false">SUM(C26:D26)</f>
        <v>-22500</v>
      </c>
      <c r="G26" s="152" t="n">
        <v>-26460</v>
      </c>
      <c r="H26" s="181"/>
      <c r="I26" s="178" t="s">
        <v>224</v>
      </c>
      <c r="J26" s="179"/>
      <c r="K26" s="179" t="n">
        <v>-21000</v>
      </c>
      <c r="L26" s="184" t="n">
        <f aca="false">SUM(J26:K26)</f>
        <v>-21000</v>
      </c>
      <c r="M26" s="151" t="n">
        <f aca="false">54*350</f>
        <v>18900</v>
      </c>
      <c r="N26" s="181" t="n">
        <v>403</v>
      </c>
      <c r="O26" s="178" t="s">
        <v>224</v>
      </c>
      <c r="P26" s="179"/>
      <c r="Q26" s="179" t="n">
        <v>-21000</v>
      </c>
      <c r="R26" s="185" t="n">
        <f aca="false">SUM(P26:Q26)</f>
        <v>-21000</v>
      </c>
      <c r="T26" s="181" t="n">
        <v>403</v>
      </c>
      <c r="U26" s="178" t="s">
        <v>225</v>
      </c>
      <c r="V26" s="179"/>
      <c r="W26" s="213" t="n">
        <f aca="false">-365*60</f>
        <v>-21900</v>
      </c>
      <c r="X26" s="214" t="n">
        <f aca="false">SUM(V26:W26)</f>
        <v>-21900</v>
      </c>
      <c r="AA26" s="181" t="n">
        <v>403</v>
      </c>
      <c r="AB26" s="178" t="s">
        <v>225</v>
      </c>
      <c r="AC26" s="179"/>
      <c r="AD26" s="213" t="n">
        <f aca="false">-365*60</f>
        <v>-21900</v>
      </c>
      <c r="AE26" s="214" t="n">
        <f aca="false">SUM(AC26:AD26)</f>
        <v>-21900</v>
      </c>
      <c r="AH26" s="181" t="n">
        <v>403</v>
      </c>
      <c r="AI26" s="178" t="s">
        <v>225</v>
      </c>
      <c r="AJ26" s="179"/>
      <c r="AK26" s="213" t="n">
        <f aca="false">-365*60</f>
        <v>-21900</v>
      </c>
      <c r="AL26" s="214" t="n">
        <f aca="false">SUM(AJ26:AK26)</f>
        <v>-21900</v>
      </c>
      <c r="AN26" s="156"/>
      <c r="AP26" s="158"/>
      <c r="AQ26" s="158"/>
      <c r="AT26" s="181" t="n">
        <v>403</v>
      </c>
      <c r="AU26" s="178" t="s">
        <v>226</v>
      </c>
      <c r="AV26" s="179"/>
      <c r="AW26" s="213" t="n">
        <f aca="false">-400*60</f>
        <v>-24000</v>
      </c>
      <c r="AX26" s="214" t="n">
        <f aca="false">SUM(AV26:AW26)</f>
        <v>-24000</v>
      </c>
      <c r="AZ26" s="156"/>
      <c r="BB26" s="158"/>
      <c r="BC26" s="158"/>
      <c r="BF26" s="181" t="n">
        <v>403</v>
      </c>
      <c r="BG26" s="178" t="s">
        <v>227</v>
      </c>
      <c r="BH26" s="179"/>
      <c r="BI26" s="213" t="n">
        <f aca="false">-700*60</f>
        <v>-42000</v>
      </c>
      <c r="BJ26" s="214" t="n">
        <f aca="false">SUM(BH26:BI26)</f>
        <v>-42000</v>
      </c>
      <c r="BL26" s="156"/>
      <c r="BN26" s="158"/>
      <c r="BO26" s="158"/>
      <c r="BT26" s="181" t="n">
        <v>403</v>
      </c>
      <c r="BU26" s="178" t="s">
        <v>135</v>
      </c>
      <c r="BV26" s="179"/>
      <c r="BW26" s="213" t="n">
        <f aca="false">-700*60</f>
        <v>-42000</v>
      </c>
      <c r="BX26" s="214" t="n">
        <f aca="false">SUM(BV26:BW26)</f>
        <v>-42000</v>
      </c>
      <c r="BZ26" s="156"/>
      <c r="CB26" s="158"/>
      <c r="CC26" s="158"/>
    </row>
    <row r="27" customFormat="false" ht="12.85" hidden="false" customHeight="false" outlineLevel="0" collapsed="false">
      <c r="A27" s="181"/>
      <c r="B27" s="178"/>
      <c r="C27" s="179"/>
      <c r="D27" s="179"/>
      <c r="E27" s="184"/>
      <c r="H27" s="181"/>
      <c r="I27" s="178"/>
      <c r="J27" s="179"/>
      <c r="K27" s="179"/>
      <c r="L27" s="184"/>
      <c r="N27" s="181"/>
      <c r="O27" s="178"/>
      <c r="P27" s="179"/>
      <c r="Q27" s="179"/>
      <c r="R27" s="185"/>
      <c r="T27" s="181" t="n">
        <v>404</v>
      </c>
      <c r="U27" s="178" t="s">
        <v>228</v>
      </c>
      <c r="V27" s="179"/>
      <c r="W27" s="179" t="n">
        <f aca="false">-365*6</f>
        <v>-2190</v>
      </c>
      <c r="X27" s="180" t="n">
        <f aca="false">SUM(V27:W27)</f>
        <v>-2190</v>
      </c>
      <c r="AA27" s="181" t="n">
        <v>404</v>
      </c>
      <c r="AB27" s="178" t="s">
        <v>228</v>
      </c>
      <c r="AC27" s="179"/>
      <c r="AD27" s="179" t="n">
        <f aca="false">-365*6</f>
        <v>-2190</v>
      </c>
      <c r="AE27" s="180" t="n">
        <f aca="false">SUM(AC27:AD27)</f>
        <v>-2190</v>
      </c>
      <c r="AH27" s="181" t="n">
        <v>404</v>
      </c>
      <c r="AI27" s="178" t="s">
        <v>228</v>
      </c>
      <c r="AJ27" s="179"/>
      <c r="AK27" s="179" t="n">
        <f aca="false">-365*6</f>
        <v>-2190</v>
      </c>
      <c r="AL27" s="180" t="n">
        <f aca="false">SUM(AJ27:AK27)</f>
        <v>-2190</v>
      </c>
      <c r="AN27" s="156"/>
      <c r="AP27" s="158"/>
      <c r="AQ27" s="158"/>
      <c r="AT27" s="181" t="n">
        <v>404</v>
      </c>
      <c r="AU27" s="178" t="s">
        <v>229</v>
      </c>
      <c r="AV27" s="179"/>
      <c r="AW27" s="179" t="n">
        <f aca="false">-400*6</f>
        <v>-2400</v>
      </c>
      <c r="AX27" s="180" t="n">
        <f aca="false">SUM(AV27:AW27)</f>
        <v>-2400</v>
      </c>
      <c r="AZ27" s="156"/>
      <c r="BB27" s="158"/>
      <c r="BC27" s="158"/>
      <c r="BF27" s="181" t="n">
        <v>404</v>
      </c>
      <c r="BG27" s="178" t="s">
        <v>64</v>
      </c>
      <c r="BH27" s="179"/>
      <c r="BI27" s="179" t="n">
        <f aca="false">-700*6</f>
        <v>-4200</v>
      </c>
      <c r="BJ27" s="180" t="n">
        <f aca="false">SUM(BH27:BI27)</f>
        <v>-4200</v>
      </c>
      <c r="BL27" s="156"/>
      <c r="BN27" s="158"/>
      <c r="BO27" s="158"/>
      <c r="BT27" s="181" t="n">
        <v>404</v>
      </c>
      <c r="BU27" s="178" t="s">
        <v>64</v>
      </c>
      <c r="BV27" s="179"/>
      <c r="BW27" s="179" t="n">
        <f aca="false">-700*6</f>
        <v>-4200</v>
      </c>
      <c r="BX27" s="180" t="n">
        <f aca="false">SUM(BV27:BW27)</f>
        <v>-4200</v>
      </c>
      <c r="BZ27" s="156"/>
      <c r="CB27" s="158"/>
      <c r="CC27" s="158"/>
    </row>
    <row r="28" customFormat="false" ht="12.85" hidden="false" customHeight="false" outlineLevel="0" collapsed="false">
      <c r="A28" s="181"/>
      <c r="B28" s="178" t="s">
        <v>230</v>
      </c>
      <c r="C28" s="179"/>
      <c r="D28" s="179" t="n">
        <v>-4950</v>
      </c>
      <c r="E28" s="184" t="n">
        <f aca="false">SUM(C28:D28)</f>
        <v>-4950</v>
      </c>
      <c r="G28" s="152" t="n">
        <v>-6695</v>
      </c>
      <c r="H28" s="181"/>
      <c r="I28" s="178" t="s">
        <v>231</v>
      </c>
      <c r="J28" s="179"/>
      <c r="K28" s="179" t="n">
        <v>-6480</v>
      </c>
      <c r="L28" s="184" t="n">
        <f aca="false">SUM(J28:K28)</f>
        <v>-6480</v>
      </c>
      <c r="N28" s="181" t="n">
        <v>404</v>
      </c>
      <c r="O28" s="178" t="s">
        <v>231</v>
      </c>
      <c r="P28" s="179"/>
      <c r="Q28" s="179" t="n">
        <v>-6480</v>
      </c>
      <c r="R28" s="185" t="n">
        <f aca="false">SUM(P28:Q28)</f>
        <v>-6480</v>
      </c>
      <c r="T28" s="181" t="n">
        <v>405</v>
      </c>
      <c r="U28" s="178" t="s">
        <v>232</v>
      </c>
      <c r="V28" s="179"/>
      <c r="W28" s="179" t="n">
        <v>-7800</v>
      </c>
      <c r="X28" s="214" t="n">
        <f aca="false">SUM(V28:W28)</f>
        <v>-7800</v>
      </c>
      <c r="AA28" s="181" t="n">
        <v>405</v>
      </c>
      <c r="AB28" s="178" t="s">
        <v>232</v>
      </c>
      <c r="AC28" s="179"/>
      <c r="AD28" s="179" t="n">
        <v>-7800</v>
      </c>
      <c r="AE28" s="214" t="n">
        <f aca="false">SUM(AC28:AD28)</f>
        <v>-7800</v>
      </c>
      <c r="AH28" s="181" t="n">
        <v>405</v>
      </c>
      <c r="AI28" s="178" t="s">
        <v>232</v>
      </c>
      <c r="AJ28" s="179"/>
      <c r="AK28" s="179" t="n">
        <v>-7800</v>
      </c>
      <c r="AL28" s="214" t="n">
        <f aca="false">SUM(AJ28:AK28)</f>
        <v>-7800</v>
      </c>
      <c r="AN28" s="156"/>
      <c r="AP28" s="158"/>
      <c r="AQ28" s="158"/>
      <c r="AT28" s="181" t="n">
        <v>405</v>
      </c>
      <c r="AU28" s="178" t="s">
        <v>232</v>
      </c>
      <c r="AV28" s="179"/>
      <c r="AW28" s="179" t="n">
        <v>-7800</v>
      </c>
      <c r="AX28" s="214" t="n">
        <f aca="false">SUM(AV28:AW28)</f>
        <v>-7800</v>
      </c>
      <c r="AZ28" s="156"/>
      <c r="BB28" s="158"/>
      <c r="BC28" s="158"/>
      <c r="BF28" s="181" t="n">
        <v>405</v>
      </c>
      <c r="BG28" s="178" t="s">
        <v>65</v>
      </c>
      <c r="BH28" s="179"/>
      <c r="BI28" s="179" t="n">
        <f aca="false">-BO23*65*3</f>
        <v>-11700</v>
      </c>
      <c r="BJ28" s="214" t="n">
        <f aca="false">SUM(BH28:BI28)</f>
        <v>-11700</v>
      </c>
      <c r="BL28" s="156"/>
      <c r="BN28" s="158"/>
      <c r="BO28" s="158"/>
      <c r="BT28" s="181" t="n">
        <v>405</v>
      </c>
      <c r="BU28" s="178" t="s">
        <v>65</v>
      </c>
      <c r="BV28" s="179"/>
      <c r="BW28" s="179" t="n">
        <f aca="false">-CC23*65*3</f>
        <v>-11700</v>
      </c>
      <c r="BX28" s="214" t="n">
        <f aca="false">SUM(BV28:BW28)</f>
        <v>-11700</v>
      </c>
      <c r="BZ28" s="156"/>
      <c r="CB28" s="158"/>
      <c r="CC28" s="158"/>
    </row>
    <row r="29" customFormat="false" ht="13.4" hidden="false" customHeight="false" outlineLevel="0" collapsed="false">
      <c r="A29" s="181"/>
      <c r="B29" s="178" t="s">
        <v>233</v>
      </c>
      <c r="C29" s="179" t="n">
        <v>22500</v>
      </c>
      <c r="D29" s="179"/>
      <c r="E29" s="184" t="n">
        <f aca="false">SUM(C29:D29)</f>
        <v>22500</v>
      </c>
      <c r="G29" s="152" t="n">
        <v>33000</v>
      </c>
      <c r="H29" s="181"/>
      <c r="I29" s="190" t="s">
        <v>234</v>
      </c>
      <c r="J29" s="179" t="n">
        <f aca="false">400*54</f>
        <v>21600</v>
      </c>
      <c r="K29" s="179"/>
      <c r="L29" s="184" t="n">
        <f aca="false">SUM(J29:K29)</f>
        <v>21600</v>
      </c>
      <c r="N29" s="181" t="n">
        <v>405</v>
      </c>
      <c r="O29" s="178" t="s">
        <v>235</v>
      </c>
      <c r="P29" s="179" t="n">
        <v>18900</v>
      </c>
      <c r="Q29" s="179"/>
      <c r="R29" s="185" t="n">
        <f aca="false">SUM(P29:Q29)</f>
        <v>18900</v>
      </c>
      <c r="T29" s="181" t="n">
        <v>406</v>
      </c>
      <c r="U29" s="178" t="s">
        <v>236</v>
      </c>
      <c r="V29" s="179" t="n">
        <f aca="false">500*60</f>
        <v>30000</v>
      </c>
      <c r="W29" s="179"/>
      <c r="X29" s="214" t="n">
        <f aca="false">SUM(V29:W29)</f>
        <v>30000</v>
      </c>
      <c r="AA29" s="181" t="n">
        <v>406</v>
      </c>
      <c r="AB29" s="178" t="s">
        <v>236</v>
      </c>
      <c r="AC29" s="179" t="n">
        <f aca="false">500*60</f>
        <v>30000</v>
      </c>
      <c r="AD29" s="179"/>
      <c r="AE29" s="214" t="n">
        <f aca="false">SUM(AC29:AD29)</f>
        <v>30000</v>
      </c>
      <c r="AH29" s="181" t="n">
        <v>406</v>
      </c>
      <c r="AI29" s="178" t="s">
        <v>237</v>
      </c>
      <c r="AJ29" s="179" t="n">
        <f aca="false">AQ23*AQ31</f>
        <v>35644</v>
      </c>
      <c r="AK29" s="179"/>
      <c r="AL29" s="214" t="n">
        <f aca="false">SUM(AJ29:AK29)</f>
        <v>35644</v>
      </c>
      <c r="AN29" s="156"/>
      <c r="AP29" s="158"/>
      <c r="AQ29" s="158"/>
      <c r="AT29" s="181" t="n">
        <v>406</v>
      </c>
      <c r="AU29" s="178" t="s">
        <v>238</v>
      </c>
      <c r="AV29" s="179" t="n">
        <f aca="false">BC23*BC31</f>
        <v>46000</v>
      </c>
      <c r="AW29" s="179"/>
      <c r="AX29" s="214" t="n">
        <f aca="false">SUM(AV29:AW29)</f>
        <v>46000</v>
      </c>
      <c r="AZ29" s="156"/>
      <c r="BB29" s="158"/>
      <c r="BC29" s="158"/>
      <c r="BF29" s="181" t="n">
        <v>406</v>
      </c>
      <c r="BG29" s="178" t="s">
        <v>136</v>
      </c>
      <c r="BH29" s="179" t="n">
        <f aca="false">BO23*BP31</f>
        <v>66000</v>
      </c>
      <c r="BI29" s="179"/>
      <c r="BJ29" s="214" t="n">
        <f aca="false">SUM(BH29:BI29)</f>
        <v>66000</v>
      </c>
      <c r="BL29" s="156"/>
      <c r="BN29" s="158"/>
      <c r="BO29" s="158"/>
      <c r="BT29" s="181" t="n">
        <v>406</v>
      </c>
      <c r="BU29" s="178" t="s">
        <v>239</v>
      </c>
      <c r="BV29" s="179" t="n">
        <f aca="false">CC23*CD31</f>
        <v>69000</v>
      </c>
      <c r="BW29" s="179"/>
      <c r="BX29" s="214" t="n">
        <f aca="false">SUM(BV29:BW29)</f>
        <v>69000</v>
      </c>
      <c r="BZ29" s="156"/>
      <c r="CB29" s="158"/>
      <c r="CC29" s="158"/>
    </row>
    <row r="30" customFormat="false" ht="12.85" hidden="false" customHeight="false" outlineLevel="0" collapsed="false">
      <c r="A30" s="181"/>
      <c r="B30" s="190" t="s">
        <v>240</v>
      </c>
      <c r="C30" s="179"/>
      <c r="D30" s="179"/>
      <c r="E30" s="184" t="n">
        <f aca="false">SUM(C30:D30)</f>
        <v>0</v>
      </c>
      <c r="H30" s="181"/>
      <c r="I30" s="178"/>
      <c r="J30" s="179"/>
      <c r="K30" s="179"/>
      <c r="L30" s="184" t="n">
        <f aca="false">SUM(J30:K30)</f>
        <v>0</v>
      </c>
      <c r="N30" s="181"/>
      <c r="O30" s="178"/>
      <c r="P30" s="179"/>
      <c r="Q30" s="179"/>
      <c r="R30" s="185" t="n">
        <f aca="false">SUM(P30:Q30)</f>
        <v>0</v>
      </c>
      <c r="T30" s="181" t="n">
        <v>407</v>
      </c>
      <c r="U30" s="178" t="s">
        <v>56</v>
      </c>
      <c r="V30" s="179" t="n">
        <v>0</v>
      </c>
      <c r="W30" s="179"/>
      <c r="X30" s="214" t="n">
        <f aca="false">SUM(V30:W30)</f>
        <v>0</v>
      </c>
      <c r="AA30" s="181" t="n">
        <v>407</v>
      </c>
      <c r="AB30" s="178" t="s">
        <v>56</v>
      </c>
      <c r="AC30" s="179" t="n">
        <v>0</v>
      </c>
      <c r="AD30" s="179"/>
      <c r="AE30" s="214" t="n">
        <f aca="false">SUM(AC30:AD30)</f>
        <v>0</v>
      </c>
      <c r="AH30" s="181" t="n">
        <v>407</v>
      </c>
      <c r="AI30" s="178" t="s">
        <v>56</v>
      </c>
      <c r="AJ30" s="179" t="n">
        <v>0</v>
      </c>
      <c r="AK30" s="179"/>
      <c r="AL30" s="214" t="n">
        <f aca="false">SUM(AJ30:AK30)</f>
        <v>0</v>
      </c>
      <c r="AN30" s="156"/>
      <c r="AP30" s="158"/>
      <c r="AQ30" s="158"/>
      <c r="AT30" s="181" t="n">
        <v>407</v>
      </c>
      <c r="AU30" s="178" t="s">
        <v>56</v>
      </c>
      <c r="AV30" s="179" t="n">
        <v>0</v>
      </c>
      <c r="AW30" s="179"/>
      <c r="AX30" s="214" t="n">
        <f aca="false">SUM(AV30:AW30)</f>
        <v>0</v>
      </c>
      <c r="AZ30" s="156"/>
      <c r="BB30" s="158"/>
      <c r="BC30" s="158"/>
      <c r="BF30" s="181" t="n">
        <v>407</v>
      </c>
      <c r="BG30" s="178" t="s">
        <v>56</v>
      </c>
      <c r="BH30" s="179" t="n">
        <v>0</v>
      </c>
      <c r="BI30" s="179"/>
      <c r="BJ30" s="214" t="n">
        <f aca="false">SUM(BH30:BI30)</f>
        <v>0</v>
      </c>
      <c r="BL30" s="156"/>
      <c r="BN30" s="158"/>
      <c r="BO30" s="158"/>
      <c r="BT30" s="181" t="n">
        <v>407</v>
      </c>
      <c r="BU30" s="178" t="s">
        <v>56</v>
      </c>
      <c r="BV30" s="179" t="n">
        <v>0</v>
      </c>
      <c r="BW30" s="179"/>
      <c r="BX30" s="214" t="n">
        <f aca="false">SUM(BV30:BW30)</f>
        <v>0</v>
      </c>
      <c r="BZ30" s="156"/>
      <c r="CB30" s="158"/>
      <c r="CC30" s="158"/>
    </row>
    <row r="31" customFormat="false" ht="12.85" hidden="false" customHeight="false" outlineLevel="0" collapsed="false">
      <c r="A31" s="192"/>
      <c r="B31" s="196" t="s">
        <v>241</v>
      </c>
      <c r="C31" s="197"/>
      <c r="D31" s="197"/>
      <c r="E31" s="198" t="n">
        <f aca="false">SUM(C31:D31)</f>
        <v>0</v>
      </c>
      <c r="H31" s="192"/>
      <c r="I31" s="196"/>
      <c r="J31" s="197"/>
      <c r="K31" s="197"/>
      <c r="L31" s="198" t="n">
        <f aca="false">SUM(J31:K31)</f>
        <v>0</v>
      </c>
      <c r="N31" s="192"/>
      <c r="O31" s="196"/>
      <c r="P31" s="197"/>
      <c r="Q31" s="197"/>
      <c r="R31" s="199" t="n">
        <f aca="false">SUM(P31:Q31)</f>
        <v>0</v>
      </c>
      <c r="T31" s="192"/>
      <c r="U31" s="196"/>
      <c r="V31" s="197"/>
      <c r="W31" s="197"/>
      <c r="X31" s="215" t="n">
        <f aca="false">SUM(V31:W31)</f>
        <v>0</v>
      </c>
      <c r="AA31" s="192"/>
      <c r="AB31" s="196"/>
      <c r="AC31" s="197"/>
      <c r="AD31" s="197"/>
      <c r="AE31" s="215"/>
      <c r="AH31" s="192"/>
      <c r="AI31" s="196"/>
      <c r="AJ31" s="197"/>
      <c r="AK31" s="197"/>
      <c r="AL31" s="215"/>
      <c r="AN31" s="156"/>
      <c r="AP31" s="157" t="s">
        <v>58</v>
      </c>
      <c r="AQ31" s="201" t="n">
        <f aca="false">(ABS(SUM(AK24:AK31))-AN23)/AQ23</f>
        <v>594.066666666667</v>
      </c>
      <c r="AT31" s="192"/>
      <c r="AU31" s="196"/>
      <c r="AV31" s="197"/>
      <c r="AW31" s="197"/>
      <c r="AX31" s="215"/>
      <c r="AZ31" s="156"/>
      <c r="BB31" s="157" t="s">
        <v>58</v>
      </c>
      <c r="BC31" s="201" t="n">
        <f aca="false">(ABS(SUM(AW24:AW31))-AZ23)/BC23</f>
        <v>766.666666666667</v>
      </c>
      <c r="BF31" s="192"/>
      <c r="BG31" s="196"/>
      <c r="BH31" s="197"/>
      <c r="BI31" s="197"/>
      <c r="BJ31" s="215"/>
      <c r="BL31" s="156"/>
      <c r="BN31" s="157" t="s">
        <v>58</v>
      </c>
      <c r="BO31" s="201" t="n">
        <f aca="false">(ABS(SUM(BI24:BI31))-BL23)/BO23</f>
        <v>1101.66666666667</v>
      </c>
      <c r="BP31" s="151" t="n">
        <v>1100</v>
      </c>
      <c r="BT31" s="192"/>
      <c r="BU31" s="196"/>
      <c r="BV31" s="197"/>
      <c r="BW31" s="197"/>
      <c r="BX31" s="215"/>
      <c r="BZ31" s="156"/>
      <c r="CB31" s="157" t="s">
        <v>58</v>
      </c>
      <c r="CC31" s="201" t="n">
        <f aca="false">(ABS(SUM(BW24:BW31))-BZ23)/CC23</f>
        <v>1148.33333333333</v>
      </c>
      <c r="CD31" s="151" t="n">
        <v>1150</v>
      </c>
    </row>
    <row r="32" customFormat="false" ht="12.85" hidden="false" customHeight="false" outlineLevel="0" collapsed="false">
      <c r="E32" s="216" t="n">
        <f aca="false">SUM(E24:E31)</f>
        <v>-20950</v>
      </c>
      <c r="F32" s="152" t="n">
        <v>-17150</v>
      </c>
      <c r="G32" s="152" t="n">
        <f aca="false">SUM(G24:G31)</f>
        <v>-17375</v>
      </c>
      <c r="L32" s="216" t="n">
        <f aca="false">SUM(L24:L31)</f>
        <v>-5880</v>
      </c>
      <c r="P32" s="152"/>
      <c r="Q32" s="152"/>
      <c r="R32" s="217" t="n">
        <f aca="false">SUM(R24:R31)</f>
        <v>-8580</v>
      </c>
      <c r="V32" s="152"/>
      <c r="W32" s="152"/>
      <c r="X32" s="216" t="n">
        <f aca="false">SUM(X24:X31)</f>
        <v>-14690</v>
      </c>
      <c r="AB32" s="193" t="s">
        <v>242</v>
      </c>
      <c r="AC32" s="152"/>
      <c r="AD32" s="152"/>
      <c r="AE32" s="216" t="n">
        <f aca="false">SUM(AE24:AE31)</f>
        <v>-9390</v>
      </c>
      <c r="AI32" s="193" t="s">
        <v>242</v>
      </c>
      <c r="AJ32" s="152"/>
      <c r="AK32" s="152"/>
      <c r="AL32" s="216" t="n">
        <f aca="false">SUM(AL24:AL31)</f>
        <v>-9000</v>
      </c>
      <c r="AN32" s="156"/>
      <c r="AP32" s="157" t="s">
        <v>77</v>
      </c>
      <c r="AQ32" s="158"/>
      <c r="AU32" s="193" t="s">
        <v>242</v>
      </c>
      <c r="AV32" s="152"/>
      <c r="AW32" s="152"/>
      <c r="AX32" s="216" t="n">
        <f aca="false">SUM(AX24:AX31)</f>
        <v>-20000</v>
      </c>
      <c r="AZ32" s="156"/>
      <c r="BB32" s="157" t="s">
        <v>77</v>
      </c>
      <c r="BC32" s="158"/>
      <c r="BG32" s="193" t="s">
        <v>242</v>
      </c>
      <c r="BH32" s="206" t="n">
        <f aca="false">SUM(BH24:BH31)</f>
        <v>66000</v>
      </c>
      <c r="BI32" s="206" t="n">
        <f aca="false">SUM(BI24:BI31)</f>
        <v>-75100</v>
      </c>
      <c r="BJ32" s="216" t="n">
        <f aca="false">SUM(BJ24:BJ31)</f>
        <v>-9100</v>
      </c>
      <c r="BL32" s="156"/>
      <c r="BN32" s="157" t="s">
        <v>59</v>
      </c>
      <c r="BO32" s="158" t="n">
        <v>195</v>
      </c>
      <c r="BU32" s="193"/>
      <c r="BV32" s="206" t="n">
        <f aca="false">SUM(BV24:BV31)</f>
        <v>69000</v>
      </c>
      <c r="BW32" s="206" t="n">
        <f aca="false">SUM(BW24:BW31)</f>
        <v>-75900</v>
      </c>
      <c r="BX32" s="216" t="n">
        <f aca="false">SUM(BX24:BX31)</f>
        <v>-6900</v>
      </c>
      <c r="BZ32" s="156"/>
      <c r="CB32" s="157" t="s">
        <v>59</v>
      </c>
      <c r="CC32" s="158" t="n">
        <v>195</v>
      </c>
    </row>
    <row r="33" customFormat="false" ht="12.85" hidden="false" customHeight="false" outlineLevel="0" collapsed="false">
      <c r="E33" s="159"/>
      <c r="L33" s="159"/>
      <c r="P33" s="152"/>
      <c r="Q33" s="152"/>
      <c r="R33" s="218"/>
      <c r="V33" s="152"/>
      <c r="W33" s="152"/>
      <c r="X33" s="159"/>
      <c r="AC33" s="152"/>
      <c r="AD33" s="152"/>
      <c r="AE33" s="159"/>
      <c r="AJ33" s="152"/>
      <c r="AK33" s="152"/>
      <c r="AL33" s="159"/>
      <c r="AN33" s="156"/>
      <c r="AP33" s="158"/>
      <c r="AQ33" s="158"/>
      <c r="AV33" s="152"/>
      <c r="AW33" s="152"/>
      <c r="AX33" s="159"/>
      <c r="AZ33" s="156"/>
      <c r="BB33" s="158"/>
      <c r="BC33" s="158"/>
      <c r="BH33" s="152"/>
      <c r="BI33" s="152"/>
      <c r="BJ33" s="159"/>
      <c r="BL33" s="156"/>
      <c r="BN33" s="158"/>
      <c r="BO33" s="158"/>
      <c r="BV33" s="152"/>
      <c r="BW33" s="152"/>
      <c r="BX33" s="159"/>
      <c r="BZ33" s="156"/>
      <c r="CB33" s="158"/>
      <c r="CC33" s="158"/>
    </row>
    <row r="34" customFormat="false" ht="12.85" hidden="false" customHeight="false" outlineLevel="0" collapsed="false">
      <c r="V34" s="152"/>
      <c r="W34" s="152"/>
      <c r="AC34" s="152"/>
      <c r="AD34" s="152"/>
      <c r="AJ34" s="152"/>
      <c r="AK34" s="152"/>
      <c r="AN34" s="156"/>
      <c r="AP34" s="158"/>
      <c r="AQ34" s="158"/>
      <c r="AV34" s="152"/>
      <c r="AW34" s="152"/>
      <c r="AZ34" s="156"/>
      <c r="BB34" s="158"/>
      <c r="BC34" s="158"/>
      <c r="BH34" s="152"/>
      <c r="BI34" s="152"/>
      <c r="BL34" s="156"/>
      <c r="BN34" s="158"/>
      <c r="BO34" s="158"/>
      <c r="BV34" s="152"/>
      <c r="BW34" s="152"/>
      <c r="BZ34" s="156"/>
      <c r="CB34" s="158"/>
      <c r="CC34" s="158"/>
    </row>
    <row r="35" customFormat="false" ht="19.4" hidden="false" customHeight="false" outlineLevel="0" collapsed="false">
      <c r="B35" s="160" t="s">
        <v>243</v>
      </c>
      <c r="I35" s="160" t="s">
        <v>244</v>
      </c>
      <c r="O35" s="160" t="s">
        <v>244</v>
      </c>
      <c r="P35" s="152"/>
      <c r="Q35" s="152"/>
      <c r="U35" s="160" t="s">
        <v>245</v>
      </c>
      <c r="V35" s="152"/>
      <c r="W35" s="152"/>
      <c r="Z35" s="154"/>
      <c r="AB35" s="160" t="s">
        <v>246</v>
      </c>
      <c r="AC35" s="152"/>
      <c r="AD35" s="152"/>
      <c r="AI35" s="160" t="s">
        <v>247</v>
      </c>
      <c r="AJ35" s="152"/>
      <c r="AK35" s="152"/>
      <c r="AN35" s="156"/>
      <c r="AP35" s="158"/>
      <c r="AQ35" s="158"/>
      <c r="AU35" s="160" t="s">
        <v>248</v>
      </c>
      <c r="AV35" s="152"/>
      <c r="AW35" s="152"/>
      <c r="AZ35" s="156"/>
      <c r="BB35" s="158"/>
      <c r="BC35" s="158"/>
      <c r="BG35" s="160" t="s">
        <v>249</v>
      </c>
      <c r="BH35" s="152"/>
      <c r="BI35" s="152"/>
      <c r="BL35" s="156"/>
      <c r="BN35" s="158"/>
      <c r="BO35" s="158"/>
      <c r="BU35" s="160" t="s">
        <v>250</v>
      </c>
      <c r="BV35" s="152"/>
      <c r="BW35" s="152"/>
      <c r="BZ35" s="156"/>
      <c r="CB35" s="158"/>
      <c r="CC35" s="158"/>
    </row>
    <row r="36" customFormat="false" ht="12.85" hidden="false" customHeight="false" outlineLevel="0" collapsed="false">
      <c r="P36" s="152"/>
      <c r="Q36" s="152"/>
      <c r="V36" s="152"/>
      <c r="W36" s="152"/>
      <c r="AC36" s="152"/>
      <c r="AD36" s="152"/>
      <c r="AJ36" s="152"/>
      <c r="AK36" s="152"/>
      <c r="AN36" s="156"/>
      <c r="AP36" s="158"/>
      <c r="AQ36" s="158"/>
      <c r="AV36" s="152"/>
      <c r="AW36" s="152"/>
      <c r="AZ36" s="156"/>
      <c r="BB36" s="158"/>
      <c r="BC36" s="158"/>
      <c r="BH36" s="152"/>
      <c r="BI36" s="152"/>
      <c r="BL36" s="156"/>
      <c r="BN36" s="158"/>
      <c r="BO36" s="158"/>
      <c r="BV36" s="152"/>
      <c r="BW36" s="152"/>
      <c r="BZ36" s="156"/>
      <c r="CB36" s="158"/>
      <c r="CC36" s="158"/>
    </row>
    <row r="37" customFormat="false" ht="17.65" hidden="false" customHeight="false" outlineLevel="0" collapsed="false">
      <c r="A37" s="161" t="s">
        <v>45</v>
      </c>
      <c r="B37" s="162" t="s">
        <v>46</v>
      </c>
      <c r="C37" s="163" t="s">
        <v>47</v>
      </c>
      <c r="D37" s="163" t="s">
        <v>48</v>
      </c>
      <c r="E37" s="164" t="s">
        <v>4</v>
      </c>
      <c r="G37" s="152" t="s">
        <v>251</v>
      </c>
      <c r="H37" s="161" t="s">
        <v>45</v>
      </c>
      <c r="I37" s="162" t="s">
        <v>46</v>
      </c>
      <c r="J37" s="163" t="s">
        <v>47</v>
      </c>
      <c r="K37" s="163" t="s">
        <v>48</v>
      </c>
      <c r="L37" s="164" t="s">
        <v>4</v>
      </c>
      <c r="N37" s="161" t="s">
        <v>45</v>
      </c>
      <c r="O37" s="162" t="s">
        <v>46</v>
      </c>
      <c r="P37" s="163" t="s">
        <v>47</v>
      </c>
      <c r="Q37" s="163" t="s">
        <v>48</v>
      </c>
      <c r="R37" s="165" t="s">
        <v>4</v>
      </c>
      <c r="T37" s="161" t="s">
        <v>45</v>
      </c>
      <c r="U37" s="162" t="s">
        <v>46</v>
      </c>
      <c r="V37" s="163" t="s">
        <v>47</v>
      </c>
      <c r="W37" s="163" t="s">
        <v>48</v>
      </c>
      <c r="X37" s="164" t="s">
        <v>4</v>
      </c>
      <c r="AA37" s="161" t="s">
        <v>45</v>
      </c>
      <c r="AB37" s="162" t="s">
        <v>46</v>
      </c>
      <c r="AC37" s="163" t="s">
        <v>47</v>
      </c>
      <c r="AD37" s="163" t="s">
        <v>48</v>
      </c>
      <c r="AE37" s="164" t="s">
        <v>4</v>
      </c>
      <c r="AH37" s="161" t="s">
        <v>45</v>
      </c>
      <c r="AI37" s="162" t="s">
        <v>46</v>
      </c>
      <c r="AJ37" s="163" t="s">
        <v>47</v>
      </c>
      <c r="AK37" s="163" t="s">
        <v>48</v>
      </c>
      <c r="AL37" s="164" t="s">
        <v>4</v>
      </c>
      <c r="AN37" s="156" t="n">
        <v>18000</v>
      </c>
      <c r="AP37" s="157" t="s">
        <v>49</v>
      </c>
      <c r="AQ37" s="166" t="n">
        <v>45</v>
      </c>
      <c r="AT37" s="161" t="s">
        <v>45</v>
      </c>
      <c r="AU37" s="162" t="s">
        <v>46</v>
      </c>
      <c r="AV37" s="163" t="s">
        <v>47</v>
      </c>
      <c r="AW37" s="163" t="s">
        <v>48</v>
      </c>
      <c r="AX37" s="164" t="s">
        <v>4</v>
      </c>
      <c r="AZ37" s="156" t="n">
        <v>15000</v>
      </c>
      <c r="BB37" s="157" t="s">
        <v>49</v>
      </c>
      <c r="BC37" s="166" t="n">
        <v>45</v>
      </c>
      <c r="BF37" s="161" t="s">
        <v>45</v>
      </c>
      <c r="BG37" s="162" t="s">
        <v>46</v>
      </c>
      <c r="BH37" s="163" t="s">
        <v>47</v>
      </c>
      <c r="BI37" s="163" t="s">
        <v>48</v>
      </c>
      <c r="BJ37" s="164" t="s">
        <v>4</v>
      </c>
      <c r="BL37" s="156" t="n">
        <v>7000</v>
      </c>
      <c r="BM37" s="151" t="n">
        <v>13500</v>
      </c>
      <c r="BN37" s="157" t="s">
        <v>49</v>
      </c>
      <c r="BO37" s="166" t="n">
        <v>40</v>
      </c>
      <c r="BT37" s="161" t="s">
        <v>45</v>
      </c>
      <c r="BU37" s="162" t="s">
        <v>46</v>
      </c>
      <c r="BV37" s="163" t="s">
        <v>47</v>
      </c>
      <c r="BW37" s="163" t="s">
        <v>48</v>
      </c>
      <c r="BX37" s="164" t="s">
        <v>4</v>
      </c>
      <c r="BZ37" s="156" t="n">
        <v>5000</v>
      </c>
      <c r="CA37" s="151" t="n">
        <v>13500</v>
      </c>
      <c r="CB37" s="157" t="s">
        <v>49</v>
      </c>
      <c r="CC37" s="166" t="n">
        <v>40</v>
      </c>
    </row>
    <row r="38" customFormat="false" ht="12.85" hidden="false" customHeight="false" outlineLevel="0" collapsed="false">
      <c r="A38" s="167"/>
      <c r="B38" s="168" t="s">
        <v>252</v>
      </c>
      <c r="C38" s="219"/>
      <c r="D38" s="219" t="n">
        <v>-15000</v>
      </c>
      <c r="E38" s="171" t="n">
        <f aca="false">SUM(C38:D38)</f>
        <v>-15000</v>
      </c>
      <c r="G38" s="152" t="n">
        <v>-18984</v>
      </c>
      <c r="H38" s="167"/>
      <c r="I38" s="168" t="s">
        <v>253</v>
      </c>
      <c r="J38" s="219"/>
      <c r="K38" s="220" t="n">
        <v>-10000</v>
      </c>
      <c r="L38" s="171" t="n">
        <f aca="false">SUM(J38:K38)</f>
        <v>-10000</v>
      </c>
      <c r="M38" s="151" t="s">
        <v>181</v>
      </c>
      <c r="N38" s="167" t="n">
        <v>501</v>
      </c>
      <c r="O38" s="168" t="s">
        <v>253</v>
      </c>
      <c r="P38" s="219"/>
      <c r="Q38" s="221" t="n">
        <v>-10000</v>
      </c>
      <c r="R38" s="174" t="n">
        <f aca="false">SUM(P38:Q38)</f>
        <v>-10000</v>
      </c>
      <c r="T38" s="167" t="n">
        <v>501</v>
      </c>
      <c r="U38" s="168" t="s">
        <v>138</v>
      </c>
      <c r="V38" s="219"/>
      <c r="W38" s="221" t="n">
        <v>-33000</v>
      </c>
      <c r="X38" s="211" t="n">
        <f aca="false">SUM(V38:W38)</f>
        <v>-33000</v>
      </c>
      <c r="Y38" s="222" t="n">
        <v>33000</v>
      </c>
      <c r="AA38" s="167" t="n">
        <v>501</v>
      </c>
      <c r="AB38" s="168" t="s">
        <v>138</v>
      </c>
      <c r="AC38" s="219"/>
      <c r="AD38" s="221" t="n">
        <v>-12000</v>
      </c>
      <c r="AE38" s="211" t="n">
        <f aca="false">SUM(AC38:AD38)</f>
        <v>-12000</v>
      </c>
      <c r="AH38" s="167" t="n">
        <v>501</v>
      </c>
      <c r="AI38" s="168" t="s">
        <v>138</v>
      </c>
      <c r="AJ38" s="219"/>
      <c r="AK38" s="223" t="n">
        <v>-9328</v>
      </c>
      <c r="AL38" s="211" t="n">
        <f aca="false">SUM(AJ38:AK38)</f>
        <v>-9328</v>
      </c>
      <c r="AN38" s="156"/>
      <c r="AP38" s="158"/>
      <c r="AQ38" s="158"/>
      <c r="AT38" s="167" t="n">
        <v>501</v>
      </c>
      <c r="AU38" s="168" t="s">
        <v>138</v>
      </c>
      <c r="AV38" s="219"/>
      <c r="AW38" s="223" t="n">
        <v>-12000</v>
      </c>
      <c r="AX38" s="211" t="n">
        <f aca="false">SUM(AV38:AW38)</f>
        <v>-12000</v>
      </c>
      <c r="AZ38" s="156"/>
      <c r="BB38" s="158"/>
      <c r="BC38" s="158"/>
      <c r="BF38" s="167" t="n">
        <v>501</v>
      </c>
      <c r="BG38" s="168" t="s">
        <v>138</v>
      </c>
      <c r="BH38" s="219"/>
      <c r="BI38" s="223" t="n">
        <v>-14000</v>
      </c>
      <c r="BJ38" s="211" t="n">
        <f aca="false">SUM(BH38:BI38)</f>
        <v>-14000</v>
      </c>
      <c r="BL38" s="156"/>
      <c r="BN38" s="158"/>
      <c r="BO38" s="158"/>
      <c r="BT38" s="167" t="n">
        <v>501</v>
      </c>
      <c r="BU38" s="168" t="s">
        <v>138</v>
      </c>
      <c r="BV38" s="219"/>
      <c r="BW38" s="223" t="n">
        <v>-13000</v>
      </c>
      <c r="BX38" s="211" t="n">
        <f aca="false">SUM(BV38:BW38)</f>
        <v>-13000</v>
      </c>
      <c r="BZ38" s="156"/>
      <c r="CB38" s="158"/>
      <c r="CC38" s="158"/>
    </row>
    <row r="39" customFormat="false" ht="12.85" hidden="false" customHeight="false" outlineLevel="0" collapsed="false">
      <c r="A39" s="167"/>
      <c r="B39" s="168" t="s">
        <v>254</v>
      </c>
      <c r="C39" s="219"/>
      <c r="D39" s="219" t="n">
        <v>-1200</v>
      </c>
      <c r="E39" s="171" t="n">
        <f aca="false">SUM(C39:D39)</f>
        <v>-1200</v>
      </c>
      <c r="G39" s="152" t="s">
        <v>255</v>
      </c>
      <c r="H39" s="167"/>
      <c r="I39" s="168" t="s">
        <v>256</v>
      </c>
      <c r="J39" s="219"/>
      <c r="K39" s="219" t="n">
        <v>0</v>
      </c>
      <c r="L39" s="171" t="n">
        <f aca="false">SUM(J39:K39)</f>
        <v>0</v>
      </c>
      <c r="N39" s="167" t="n">
        <v>502</v>
      </c>
      <c r="O39" s="168" t="s">
        <v>256</v>
      </c>
      <c r="P39" s="219"/>
      <c r="Q39" s="219" t="n">
        <v>0</v>
      </c>
      <c r="R39" s="174" t="n">
        <f aca="false">SUM(P39:Q39)</f>
        <v>0</v>
      </c>
      <c r="T39" s="167" t="n">
        <v>502</v>
      </c>
      <c r="U39" s="168" t="s">
        <v>257</v>
      </c>
      <c r="V39" s="219"/>
      <c r="W39" s="219" t="n">
        <v>-2000</v>
      </c>
      <c r="X39" s="211" t="n">
        <f aca="false">SUM(V39:W39)</f>
        <v>-2000</v>
      </c>
      <c r="Y39" s="222" t="n">
        <v>2000</v>
      </c>
      <c r="AA39" s="167" t="n">
        <v>502</v>
      </c>
      <c r="AB39" s="168" t="s">
        <v>257</v>
      </c>
      <c r="AC39" s="219"/>
      <c r="AD39" s="219" t="n">
        <v>-600</v>
      </c>
      <c r="AE39" s="211" t="n">
        <f aca="false">SUM(AC39:AD39)</f>
        <v>-600</v>
      </c>
      <c r="AH39" s="167" t="n">
        <v>502</v>
      </c>
      <c r="AI39" s="168" t="s">
        <v>257</v>
      </c>
      <c r="AJ39" s="219"/>
      <c r="AK39" s="219" t="n">
        <v>-600</v>
      </c>
      <c r="AL39" s="211" t="n">
        <f aca="false">SUM(AJ39:AK39)</f>
        <v>-600</v>
      </c>
      <c r="AN39" s="156"/>
      <c r="AP39" s="158"/>
      <c r="AQ39" s="158"/>
      <c r="AT39" s="167" t="n">
        <v>502</v>
      </c>
      <c r="AU39" s="168" t="s">
        <v>257</v>
      </c>
      <c r="AV39" s="219"/>
      <c r="AW39" s="219" t="n">
        <v>-600</v>
      </c>
      <c r="AX39" s="211" t="n">
        <f aca="false">SUM(AV39:AW39)</f>
        <v>-600</v>
      </c>
      <c r="AZ39" s="156"/>
      <c r="BB39" s="158"/>
      <c r="BC39" s="158"/>
      <c r="BF39" s="167" t="n">
        <v>502</v>
      </c>
      <c r="BG39" s="168" t="s">
        <v>62</v>
      </c>
      <c r="BH39" s="219"/>
      <c r="BI39" s="219" t="n">
        <v>-1200</v>
      </c>
      <c r="BJ39" s="211" t="n">
        <f aca="false">SUM(BH39:BI39)</f>
        <v>-1200</v>
      </c>
      <c r="BL39" s="156"/>
      <c r="BN39" s="158"/>
      <c r="BO39" s="158"/>
      <c r="BT39" s="167" t="n">
        <v>502</v>
      </c>
      <c r="BU39" s="168" t="s">
        <v>62</v>
      </c>
      <c r="BV39" s="219"/>
      <c r="BW39" s="219" t="n">
        <v>-2000</v>
      </c>
      <c r="BX39" s="211" t="n">
        <f aca="false">SUM(BV39:BW39)</f>
        <v>-2000</v>
      </c>
      <c r="BZ39" s="156"/>
      <c r="CB39" s="158"/>
      <c r="CC39" s="158"/>
    </row>
    <row r="40" customFormat="false" ht="13.4" hidden="false" customHeight="false" outlineLevel="0" collapsed="false">
      <c r="A40" s="167"/>
      <c r="B40" s="168"/>
      <c r="C40" s="219"/>
      <c r="D40" s="219"/>
      <c r="E40" s="171"/>
      <c r="H40" s="167"/>
      <c r="I40" s="168"/>
      <c r="J40" s="219"/>
      <c r="K40" s="219"/>
      <c r="L40" s="171"/>
      <c r="N40" s="167"/>
      <c r="O40" s="168"/>
      <c r="P40" s="219"/>
      <c r="Q40" s="219"/>
      <c r="R40" s="174"/>
      <c r="T40" s="167" t="n">
        <v>503</v>
      </c>
      <c r="U40" s="168" t="s">
        <v>258</v>
      </c>
      <c r="V40" s="219"/>
      <c r="W40" s="219" t="n">
        <f aca="false">-100*4*42</f>
        <v>-16800</v>
      </c>
      <c r="X40" s="211" t="n">
        <f aca="false">SUM(V40:W40)</f>
        <v>-16800</v>
      </c>
      <c r="Y40" s="222" t="n">
        <v>18800</v>
      </c>
      <c r="AA40" s="167" t="n">
        <v>503</v>
      </c>
      <c r="AB40" s="168" t="s">
        <v>259</v>
      </c>
      <c r="AC40" s="219"/>
      <c r="AD40" s="219" t="n">
        <f aca="false">-200*2*45</f>
        <v>-18000</v>
      </c>
      <c r="AE40" s="211" t="n">
        <f aca="false">SUM(AC40:AD40)</f>
        <v>-18000</v>
      </c>
      <c r="AH40" s="167" t="n">
        <v>503</v>
      </c>
      <c r="AI40" s="168" t="s">
        <v>259</v>
      </c>
      <c r="AJ40" s="219"/>
      <c r="AK40" s="219" t="n">
        <f aca="false">-200*2*45</f>
        <v>-18000</v>
      </c>
      <c r="AL40" s="211" t="n">
        <f aca="false">SUM(AJ40:AK40)</f>
        <v>-18000</v>
      </c>
      <c r="AN40" s="156"/>
      <c r="AP40" s="158"/>
      <c r="AQ40" s="158"/>
      <c r="AT40" s="167" t="n">
        <v>503</v>
      </c>
      <c r="AU40" s="168" t="s">
        <v>259</v>
      </c>
      <c r="AV40" s="219"/>
      <c r="AW40" s="219" t="n">
        <f aca="false">-200*2*45</f>
        <v>-18000</v>
      </c>
      <c r="AX40" s="211" t="n">
        <f aca="false">SUM(AV40:AW40)</f>
        <v>-18000</v>
      </c>
      <c r="AZ40" s="156"/>
      <c r="BB40" s="158"/>
      <c r="BC40" s="158"/>
      <c r="BF40" s="167" t="n">
        <v>503</v>
      </c>
      <c r="BG40" s="168" t="s">
        <v>260</v>
      </c>
      <c r="BH40" s="219"/>
      <c r="BI40" s="219" t="n">
        <f aca="false">-(20*2*45+1200)</f>
        <v>-3000</v>
      </c>
      <c r="BJ40" s="211" t="n">
        <f aca="false">SUM(BH40:BI40)</f>
        <v>-3000</v>
      </c>
      <c r="BL40" s="156"/>
      <c r="BN40" s="158"/>
      <c r="BO40" s="158"/>
      <c r="BT40" s="167" t="n">
        <v>503</v>
      </c>
      <c r="BU40" s="168" t="s">
        <v>139</v>
      </c>
      <c r="BV40" s="219"/>
      <c r="BW40" s="219" t="n">
        <f aca="false">-5000</f>
        <v>-5000</v>
      </c>
      <c r="BX40" s="211" t="n">
        <f aca="false">SUM(BV40:BW40)</f>
        <v>-5000</v>
      </c>
      <c r="BZ40" s="156"/>
      <c r="CB40" s="158"/>
      <c r="CC40" s="158"/>
    </row>
    <row r="41" customFormat="false" ht="13.4" hidden="false" customHeight="false" outlineLevel="0" collapsed="false">
      <c r="A41" s="181"/>
      <c r="B41" s="178" t="s">
        <v>261</v>
      </c>
      <c r="C41" s="194"/>
      <c r="D41" s="194" t="n">
        <v>-26000</v>
      </c>
      <c r="E41" s="184" t="n">
        <f aca="false">SUM(C41:D41)</f>
        <v>-26000</v>
      </c>
      <c r="G41" s="152" t="n">
        <v>-30156</v>
      </c>
      <c r="H41" s="181"/>
      <c r="I41" s="190" t="s">
        <v>262</v>
      </c>
      <c r="J41" s="194"/>
      <c r="K41" s="194" t="n">
        <f aca="false">-400*20</f>
        <v>-8000</v>
      </c>
      <c r="L41" s="184" t="n">
        <f aca="false">SUM(J41:K41)</f>
        <v>-8000</v>
      </c>
      <c r="N41" s="181" t="n">
        <v>503</v>
      </c>
      <c r="O41" s="178" t="s">
        <v>263</v>
      </c>
      <c r="P41" s="194"/>
      <c r="Q41" s="194" t="n">
        <v>-16800</v>
      </c>
      <c r="R41" s="185" t="n">
        <f aca="false">SUM(P41:Q41)</f>
        <v>-16800</v>
      </c>
      <c r="T41" s="181" t="n">
        <v>504</v>
      </c>
      <c r="U41" s="224" t="s">
        <v>264</v>
      </c>
      <c r="V41" s="194"/>
      <c r="W41" s="194" t="n">
        <f aca="false">-500*42</f>
        <v>-21000</v>
      </c>
      <c r="X41" s="214" t="n">
        <f aca="false">SUM(V41:W41)</f>
        <v>-21000</v>
      </c>
      <c r="Y41" s="222" t="n">
        <v>23500</v>
      </c>
      <c r="AA41" s="181" t="n">
        <v>504</v>
      </c>
      <c r="AB41" s="224" t="s">
        <v>140</v>
      </c>
      <c r="AC41" s="194"/>
      <c r="AD41" s="194" t="n">
        <f aca="false">-250*45</f>
        <v>-11250</v>
      </c>
      <c r="AE41" s="214" t="n">
        <f aca="false">SUM(AC41:AD41)</f>
        <v>-11250</v>
      </c>
      <c r="AH41" s="181" t="n">
        <v>504</v>
      </c>
      <c r="AI41" s="224" t="s">
        <v>140</v>
      </c>
      <c r="AJ41" s="194"/>
      <c r="AK41" s="194" t="n">
        <f aca="false">-250*45</f>
        <v>-11250</v>
      </c>
      <c r="AL41" s="214" t="n">
        <f aca="false">SUM(AJ41:AK41)</f>
        <v>-11250</v>
      </c>
      <c r="AN41" s="156"/>
      <c r="AP41" s="158"/>
      <c r="AQ41" s="158"/>
      <c r="AT41" s="181" t="n">
        <v>504</v>
      </c>
      <c r="AU41" s="224" t="s">
        <v>140</v>
      </c>
      <c r="AV41" s="194"/>
      <c r="AW41" s="194" t="n">
        <f aca="false">-250*45</f>
        <v>-11250</v>
      </c>
      <c r="AX41" s="214" t="n">
        <f aca="false">SUM(AV41:AW41)</f>
        <v>-11250</v>
      </c>
      <c r="AZ41" s="156"/>
      <c r="BB41" s="158"/>
      <c r="BC41" s="158"/>
      <c r="BF41" s="181" t="n">
        <v>504</v>
      </c>
      <c r="BG41" s="224" t="s">
        <v>140</v>
      </c>
      <c r="BH41" s="194"/>
      <c r="BI41" s="194" t="n">
        <f aca="false">-250*45</f>
        <v>-11250</v>
      </c>
      <c r="BJ41" s="214" t="n">
        <f aca="false">SUM(BH41:BI41)</f>
        <v>-11250</v>
      </c>
      <c r="BL41" s="156"/>
      <c r="BN41" s="158"/>
      <c r="BO41" s="158"/>
      <c r="BT41" s="181" t="n">
        <v>504</v>
      </c>
      <c r="BU41" s="224" t="s">
        <v>140</v>
      </c>
      <c r="BV41" s="194"/>
      <c r="BW41" s="194" t="n">
        <f aca="false">-250*45</f>
        <v>-11250</v>
      </c>
      <c r="BX41" s="214" t="n">
        <f aca="false">SUM(BV41:BW41)</f>
        <v>-11250</v>
      </c>
      <c r="BZ41" s="156"/>
      <c r="CB41" s="158"/>
      <c r="CC41" s="158"/>
    </row>
    <row r="42" customFormat="false" ht="12.85" hidden="false" customHeight="false" outlineLevel="0" collapsed="false">
      <c r="A42" s="181"/>
      <c r="B42" s="178"/>
      <c r="C42" s="194"/>
      <c r="D42" s="194"/>
      <c r="E42" s="184"/>
      <c r="H42" s="181"/>
      <c r="I42" s="190"/>
      <c r="J42" s="194"/>
      <c r="K42" s="194"/>
      <c r="L42" s="184"/>
      <c r="N42" s="181"/>
      <c r="O42" s="178"/>
      <c r="P42" s="194"/>
      <c r="Q42" s="194"/>
      <c r="R42" s="185"/>
      <c r="T42" s="181" t="n">
        <v>506</v>
      </c>
      <c r="U42" s="224" t="s">
        <v>265</v>
      </c>
      <c r="V42" s="194"/>
      <c r="W42" s="194" t="n">
        <f aca="false">-200*4*3</f>
        <v>-2400</v>
      </c>
      <c r="X42" s="214" t="n">
        <f aca="false">SUM(V42:W42)</f>
        <v>-2400</v>
      </c>
      <c r="Y42" s="222" t="n">
        <v>2100</v>
      </c>
      <c r="AA42" s="181" t="n">
        <v>506</v>
      </c>
      <c r="AB42" s="224" t="s">
        <v>266</v>
      </c>
      <c r="AC42" s="194"/>
      <c r="AD42" s="194" t="n">
        <f aca="false">-200*4*2</f>
        <v>-1600</v>
      </c>
      <c r="AE42" s="214" t="n">
        <f aca="false">SUM(AC42:AD42)</f>
        <v>-1600</v>
      </c>
      <c r="AH42" s="181" t="n">
        <v>506</v>
      </c>
      <c r="AI42" s="224" t="s">
        <v>266</v>
      </c>
      <c r="AJ42" s="194"/>
      <c r="AK42" s="194" t="n">
        <f aca="false">-200*4*2</f>
        <v>-1600</v>
      </c>
      <c r="AL42" s="214" t="n">
        <f aca="false">SUM(AJ42:AK42)</f>
        <v>-1600</v>
      </c>
      <c r="AN42" s="156"/>
      <c r="AP42" s="158"/>
      <c r="AQ42" s="158"/>
      <c r="AT42" s="181" t="n">
        <v>506</v>
      </c>
      <c r="AU42" s="224" t="s">
        <v>266</v>
      </c>
      <c r="AV42" s="194"/>
      <c r="AW42" s="194" t="n">
        <f aca="false">-200*4*2</f>
        <v>-1600</v>
      </c>
      <c r="AX42" s="214" t="n">
        <f aca="false">SUM(AV42:AW42)</f>
        <v>-1600</v>
      </c>
      <c r="AZ42" s="156"/>
      <c r="BB42" s="158"/>
      <c r="BC42" s="158"/>
      <c r="BF42" s="181" t="n">
        <v>506</v>
      </c>
      <c r="BG42" s="224" t="s">
        <v>71</v>
      </c>
      <c r="BH42" s="194"/>
      <c r="BI42" s="194" t="n">
        <f aca="false">-20*4*2</f>
        <v>-160</v>
      </c>
      <c r="BJ42" s="214" t="n">
        <f aca="false">SUM(BH42:BI42)</f>
        <v>-160</v>
      </c>
      <c r="BL42" s="156"/>
      <c r="BN42" s="158"/>
      <c r="BO42" s="158"/>
      <c r="BT42" s="181" t="n">
        <v>506</v>
      </c>
      <c r="BU42" s="224" t="s">
        <v>71</v>
      </c>
      <c r="BV42" s="194"/>
      <c r="BW42" s="194" t="n">
        <f aca="false">-20*4*2</f>
        <v>-160</v>
      </c>
      <c r="BX42" s="214" t="n">
        <f aca="false">SUM(BV42:BW42)</f>
        <v>-160</v>
      </c>
      <c r="BZ42" s="156"/>
      <c r="CB42" s="158"/>
      <c r="CC42" s="158"/>
    </row>
    <row r="43" customFormat="false" ht="12.85" hidden="false" customHeight="false" outlineLevel="0" collapsed="false">
      <c r="A43" s="181"/>
      <c r="B43" s="178"/>
      <c r="C43" s="194"/>
      <c r="D43" s="194"/>
      <c r="E43" s="184"/>
      <c r="H43" s="181"/>
      <c r="I43" s="190"/>
      <c r="J43" s="194"/>
      <c r="K43" s="194"/>
      <c r="L43" s="184"/>
      <c r="N43" s="181"/>
      <c r="O43" s="178"/>
      <c r="P43" s="194"/>
      <c r="Q43" s="194"/>
      <c r="R43" s="185"/>
      <c r="T43" s="181" t="n">
        <v>507</v>
      </c>
      <c r="U43" s="224" t="s">
        <v>267</v>
      </c>
      <c r="V43" s="194"/>
      <c r="W43" s="194" t="n">
        <f aca="false">-500*3</f>
        <v>-1500</v>
      </c>
      <c r="X43" s="214" t="n">
        <f aca="false">SUM(V43:W43)</f>
        <v>-1500</v>
      </c>
      <c r="Y43" s="222" t="n">
        <v>1500</v>
      </c>
      <c r="AA43" s="181" t="n">
        <v>507</v>
      </c>
      <c r="AB43" s="224" t="s">
        <v>267</v>
      </c>
      <c r="AC43" s="194"/>
      <c r="AD43" s="194" t="n">
        <f aca="false">-250*4</f>
        <v>-1000</v>
      </c>
      <c r="AE43" s="214" t="n">
        <f aca="false">SUM(AC43:AD43)</f>
        <v>-1000</v>
      </c>
      <c r="AH43" s="181" t="n">
        <v>507</v>
      </c>
      <c r="AI43" s="224" t="s">
        <v>267</v>
      </c>
      <c r="AJ43" s="194"/>
      <c r="AK43" s="194" t="n">
        <f aca="false">-250*4</f>
        <v>-1000</v>
      </c>
      <c r="AL43" s="214" t="n">
        <f aca="false">SUM(AJ43:AK43)</f>
        <v>-1000</v>
      </c>
      <c r="AN43" s="156"/>
      <c r="AP43" s="158"/>
      <c r="AQ43" s="158"/>
      <c r="AT43" s="181" t="n">
        <v>507</v>
      </c>
      <c r="AU43" s="224" t="s">
        <v>267</v>
      </c>
      <c r="AV43" s="194"/>
      <c r="AW43" s="194" t="n">
        <f aca="false">-250*4</f>
        <v>-1000</v>
      </c>
      <c r="AX43" s="214" t="n">
        <f aca="false">SUM(AV43:AW43)</f>
        <v>-1000</v>
      </c>
      <c r="AZ43" s="156"/>
      <c r="BB43" s="158"/>
      <c r="BC43" s="158"/>
      <c r="BF43" s="181" t="n">
        <v>507</v>
      </c>
      <c r="BG43" s="224" t="s">
        <v>72</v>
      </c>
      <c r="BH43" s="194"/>
      <c r="BI43" s="194" t="n">
        <f aca="false">-250*4</f>
        <v>-1000</v>
      </c>
      <c r="BJ43" s="214" t="n">
        <f aca="false">SUM(BH43:BI43)</f>
        <v>-1000</v>
      </c>
      <c r="BL43" s="156"/>
      <c r="BN43" s="158"/>
      <c r="BO43" s="158"/>
      <c r="BT43" s="181" t="n">
        <v>507</v>
      </c>
      <c r="BU43" s="224" t="s">
        <v>72</v>
      </c>
      <c r="BV43" s="194"/>
      <c r="BW43" s="194" t="n">
        <f aca="false">-250*4</f>
        <v>-1000</v>
      </c>
      <c r="BX43" s="214" t="n">
        <f aca="false">SUM(BV43:BW43)</f>
        <v>-1000</v>
      </c>
      <c r="BZ43" s="156"/>
      <c r="CB43" s="158"/>
      <c r="CC43" s="158"/>
    </row>
    <row r="44" customFormat="false" ht="13.4" hidden="false" customHeight="false" outlineLevel="0" collapsed="false">
      <c r="A44" s="181"/>
      <c r="B44" s="178"/>
      <c r="C44" s="194"/>
      <c r="D44" s="194"/>
      <c r="E44" s="184"/>
      <c r="H44" s="181"/>
      <c r="I44" s="190"/>
      <c r="J44" s="194"/>
      <c r="K44" s="194"/>
      <c r="L44" s="184"/>
      <c r="N44" s="181"/>
      <c r="O44" s="178"/>
      <c r="P44" s="194"/>
      <c r="Q44" s="194"/>
      <c r="R44" s="185"/>
      <c r="T44" s="181" t="n">
        <v>508</v>
      </c>
      <c r="U44" s="224" t="s">
        <v>268</v>
      </c>
      <c r="V44" s="194"/>
      <c r="W44" s="194" t="n">
        <f aca="false">-175*45</f>
        <v>-7875</v>
      </c>
      <c r="X44" s="214" t="n">
        <f aca="false">SUM(V44:W44)</f>
        <v>-7875</v>
      </c>
      <c r="Y44" s="222" t="n">
        <v>8750</v>
      </c>
      <c r="AA44" s="181" t="n">
        <v>508</v>
      </c>
      <c r="AB44" s="224" t="s">
        <v>73</v>
      </c>
      <c r="AC44" s="194"/>
      <c r="AD44" s="194" t="n">
        <f aca="false">-175*45</f>
        <v>-7875</v>
      </c>
      <c r="AE44" s="214" t="n">
        <f aca="false">SUM(AC44:AD44)</f>
        <v>-7875</v>
      </c>
      <c r="AH44" s="181" t="n">
        <v>508</v>
      </c>
      <c r="AI44" s="224" t="s">
        <v>73</v>
      </c>
      <c r="AJ44" s="194"/>
      <c r="AK44" s="194" t="n">
        <f aca="false">-175*45</f>
        <v>-7875</v>
      </c>
      <c r="AL44" s="214" t="n">
        <f aca="false">SUM(AJ44:AK44)</f>
        <v>-7875</v>
      </c>
      <c r="AN44" s="156"/>
      <c r="AP44" s="158"/>
      <c r="AQ44" s="158"/>
      <c r="AT44" s="181" t="n">
        <v>508</v>
      </c>
      <c r="AU44" s="224" t="s">
        <v>73</v>
      </c>
      <c r="AV44" s="194"/>
      <c r="AW44" s="194" t="n">
        <f aca="false">-175*45</f>
        <v>-7875</v>
      </c>
      <c r="AX44" s="214" t="n">
        <f aca="false">SUM(AV44:AW44)</f>
        <v>-7875</v>
      </c>
      <c r="AZ44" s="156"/>
      <c r="BB44" s="158"/>
      <c r="BC44" s="158"/>
      <c r="BF44" s="181" t="n">
        <v>508</v>
      </c>
      <c r="BG44" s="224" t="s">
        <v>73</v>
      </c>
      <c r="BH44" s="194"/>
      <c r="BI44" s="194" t="n">
        <f aca="false">-175*45</f>
        <v>-7875</v>
      </c>
      <c r="BJ44" s="214" t="n">
        <f aca="false">SUM(BH44:BI44)</f>
        <v>-7875</v>
      </c>
      <c r="BL44" s="156"/>
      <c r="BN44" s="158"/>
      <c r="BO44" s="158"/>
      <c r="BT44" s="181" t="n">
        <v>508</v>
      </c>
      <c r="BU44" s="224" t="s">
        <v>73</v>
      </c>
      <c r="BV44" s="194"/>
      <c r="BW44" s="194" t="n">
        <f aca="false">-175*45</f>
        <v>-7875</v>
      </c>
      <c r="BX44" s="214" t="n">
        <f aca="false">SUM(BV44:BW44)</f>
        <v>-7875</v>
      </c>
      <c r="BZ44" s="156"/>
      <c r="CB44" s="158"/>
      <c r="CC44" s="158"/>
    </row>
    <row r="45" customFormat="false" ht="13.4" hidden="false" customHeight="false" outlineLevel="0" collapsed="false">
      <c r="A45" s="181"/>
      <c r="B45" s="178"/>
      <c r="C45" s="194"/>
      <c r="D45" s="194"/>
      <c r="E45" s="184"/>
      <c r="H45" s="181"/>
      <c r="I45" s="190"/>
      <c r="J45" s="194"/>
      <c r="K45" s="194"/>
      <c r="L45" s="184"/>
      <c r="N45" s="181"/>
      <c r="O45" s="178"/>
      <c r="P45" s="194"/>
      <c r="Q45" s="194"/>
      <c r="R45" s="185"/>
      <c r="T45" s="181" t="n">
        <v>509</v>
      </c>
      <c r="U45" s="224" t="s">
        <v>269</v>
      </c>
      <c r="V45" s="194" t="n">
        <f aca="false">42*1500</f>
        <v>63000</v>
      </c>
      <c r="W45" s="194"/>
      <c r="X45" s="214" t="n">
        <f aca="false">SUM(V45:W45)</f>
        <v>63000</v>
      </c>
      <c r="Y45" s="222" t="n">
        <v>58500</v>
      </c>
      <c r="AA45" s="181" t="n">
        <v>509</v>
      </c>
      <c r="AB45" s="224" t="s">
        <v>270</v>
      </c>
      <c r="AC45" s="194" t="n">
        <f aca="false">45*1000</f>
        <v>45000</v>
      </c>
      <c r="AD45" s="194"/>
      <c r="AE45" s="214" t="n">
        <f aca="false">SUM(AC45:AD45)</f>
        <v>45000</v>
      </c>
      <c r="AH45" s="181" t="n">
        <v>509</v>
      </c>
      <c r="AI45" s="224" t="s">
        <v>271</v>
      </c>
      <c r="AJ45" s="194" t="n">
        <f aca="false">AQ37*AQ48</f>
        <v>31653</v>
      </c>
      <c r="AK45" s="194"/>
      <c r="AL45" s="214" t="n">
        <f aca="false">SUM(AJ45:AK45)</f>
        <v>31653</v>
      </c>
      <c r="AN45" s="156"/>
      <c r="AP45" s="158"/>
      <c r="AQ45" s="158"/>
      <c r="AT45" s="181" t="n">
        <v>509</v>
      </c>
      <c r="AU45" s="224" t="s">
        <v>272</v>
      </c>
      <c r="AV45" s="194" t="n">
        <f aca="false">BC37*BC48</f>
        <v>37325</v>
      </c>
      <c r="AW45" s="194"/>
      <c r="AX45" s="214" t="n">
        <f aca="false">SUM(AV45:AW45)</f>
        <v>37325</v>
      </c>
      <c r="AZ45" s="156"/>
      <c r="BB45" s="158"/>
      <c r="BC45" s="158"/>
      <c r="BF45" s="181" t="n">
        <v>509</v>
      </c>
      <c r="BG45" s="224" t="s">
        <v>273</v>
      </c>
      <c r="BH45" s="194" t="n">
        <f aca="false">BO37*BP48</f>
        <v>32000</v>
      </c>
      <c r="BI45" s="194"/>
      <c r="BJ45" s="214" t="n">
        <f aca="false">SUM(BH45:BI45)</f>
        <v>32000</v>
      </c>
      <c r="BL45" s="156"/>
      <c r="BN45" s="158"/>
      <c r="BO45" s="158"/>
      <c r="BT45" s="181" t="n">
        <v>509</v>
      </c>
      <c r="BU45" s="224" t="s">
        <v>274</v>
      </c>
      <c r="BV45" s="194" t="n">
        <f aca="false">CC37*CD48</f>
        <v>35200</v>
      </c>
      <c r="BW45" s="194"/>
      <c r="BX45" s="214" t="n">
        <f aca="false">SUM(BV45:BW45)</f>
        <v>35200</v>
      </c>
      <c r="BZ45" s="156"/>
      <c r="CB45" s="158"/>
      <c r="CC45" s="158"/>
    </row>
    <row r="46" customFormat="false" ht="12.85" hidden="false" customHeight="false" outlineLevel="0" collapsed="false">
      <c r="A46" s="181"/>
      <c r="B46" s="178" t="s">
        <v>275</v>
      </c>
      <c r="C46" s="194"/>
      <c r="D46" s="194" t="n">
        <v>-4000</v>
      </c>
      <c r="E46" s="184" t="n">
        <f aca="false">SUM(C46:D46)</f>
        <v>-4000</v>
      </c>
      <c r="G46" s="152" t="n">
        <v>-2800</v>
      </c>
      <c r="H46" s="181"/>
      <c r="I46" s="190" t="s">
        <v>276</v>
      </c>
      <c r="J46" s="194"/>
      <c r="K46" s="194" t="n">
        <f aca="false">-150*20</f>
        <v>-3000</v>
      </c>
      <c r="L46" s="184" t="n">
        <f aca="false">SUM(J46:K46)</f>
        <v>-3000</v>
      </c>
      <c r="N46" s="181" t="n">
        <v>504</v>
      </c>
      <c r="O46" s="178" t="s">
        <v>275</v>
      </c>
      <c r="P46" s="194"/>
      <c r="Q46" s="194" t="n">
        <v>-4000</v>
      </c>
      <c r="R46" s="185" t="n">
        <f aca="false">SUM(P46:Q46)</f>
        <v>-4000</v>
      </c>
      <c r="T46" s="225" t="n">
        <v>510</v>
      </c>
      <c r="U46" s="226" t="s">
        <v>277</v>
      </c>
      <c r="V46" s="194" t="n">
        <v>0</v>
      </c>
      <c r="W46" s="178"/>
      <c r="X46" s="225" t="n">
        <v>0</v>
      </c>
      <c r="Y46" s="222"/>
      <c r="AA46" s="225" t="n">
        <v>510</v>
      </c>
      <c r="AB46" s="226" t="s">
        <v>75</v>
      </c>
      <c r="AC46" s="194" t="n">
        <v>0</v>
      </c>
      <c r="AD46" s="178"/>
      <c r="AE46" s="225" t="n">
        <v>0</v>
      </c>
      <c r="AH46" s="181" t="n">
        <v>510</v>
      </c>
      <c r="AI46" s="226" t="s">
        <v>75</v>
      </c>
      <c r="AJ46" s="194" t="n">
        <v>0</v>
      </c>
      <c r="AK46" s="178"/>
      <c r="AL46" s="225" t="n">
        <v>0</v>
      </c>
      <c r="AN46" s="156"/>
      <c r="AP46" s="158"/>
      <c r="AQ46" s="158"/>
      <c r="AT46" s="181" t="n">
        <v>510</v>
      </c>
      <c r="AU46" s="226" t="s">
        <v>75</v>
      </c>
      <c r="AV46" s="194" t="n">
        <v>0</v>
      </c>
      <c r="AW46" s="178"/>
      <c r="AX46" s="225" t="n">
        <v>0</v>
      </c>
      <c r="AZ46" s="156"/>
      <c r="BB46" s="158"/>
      <c r="BC46" s="158"/>
      <c r="BF46" s="181" t="n">
        <v>510</v>
      </c>
      <c r="BG46" s="226" t="s">
        <v>75</v>
      </c>
      <c r="BH46" s="194" t="n">
        <v>0</v>
      </c>
      <c r="BI46" s="178"/>
      <c r="BJ46" s="225" t="n">
        <v>0</v>
      </c>
      <c r="BL46" s="156"/>
      <c r="BN46" s="158"/>
      <c r="BO46" s="158"/>
      <c r="BT46" s="181" t="n">
        <v>510</v>
      </c>
      <c r="BU46" s="226" t="s">
        <v>75</v>
      </c>
      <c r="BV46" s="194" t="n">
        <v>0</v>
      </c>
      <c r="BW46" s="178"/>
      <c r="BX46" s="225" t="n">
        <v>0</v>
      </c>
      <c r="BZ46" s="156"/>
      <c r="CB46" s="158"/>
      <c r="CC46" s="158"/>
    </row>
    <row r="47" customFormat="false" ht="12.85" hidden="false" customHeight="false" outlineLevel="0" collapsed="false">
      <c r="A47" s="227"/>
      <c r="B47" s="228"/>
      <c r="C47" s="229"/>
      <c r="D47" s="229"/>
      <c r="E47" s="230"/>
      <c r="H47" s="227"/>
      <c r="I47" s="228"/>
      <c r="J47" s="229"/>
      <c r="K47" s="229"/>
      <c r="L47" s="230"/>
      <c r="N47" s="227"/>
      <c r="O47" s="228"/>
      <c r="P47" s="229"/>
      <c r="Q47" s="229"/>
      <c r="R47" s="231"/>
      <c r="T47" s="227" t="n">
        <v>511</v>
      </c>
      <c r="U47" s="232" t="s">
        <v>278</v>
      </c>
      <c r="V47" s="233"/>
      <c r="W47" s="229"/>
      <c r="X47" s="195" t="n">
        <v>0</v>
      </c>
      <c r="Y47" s="222"/>
      <c r="AA47" s="227" t="n">
        <v>511</v>
      </c>
      <c r="AB47" s="232"/>
      <c r="AC47" s="233"/>
      <c r="AD47" s="229"/>
      <c r="AE47" s="195" t="n">
        <v>0</v>
      </c>
      <c r="AH47" s="227" t="n">
        <v>511</v>
      </c>
      <c r="AI47" s="232"/>
      <c r="AJ47" s="233"/>
      <c r="AK47" s="229"/>
      <c r="AL47" s="195" t="n">
        <v>0</v>
      </c>
      <c r="AN47" s="156"/>
      <c r="AP47" s="158"/>
      <c r="AQ47" s="158"/>
      <c r="AT47" s="227" t="n">
        <v>511</v>
      </c>
      <c r="AU47" s="232"/>
      <c r="AV47" s="233"/>
      <c r="AW47" s="229"/>
      <c r="AX47" s="195" t="n">
        <v>0</v>
      </c>
      <c r="AZ47" s="156"/>
      <c r="BB47" s="158"/>
      <c r="BC47" s="158"/>
      <c r="BF47" s="227" t="n">
        <v>511</v>
      </c>
      <c r="BG47" s="232" t="s">
        <v>76</v>
      </c>
      <c r="BH47" s="233" t="n">
        <v>0</v>
      </c>
      <c r="BI47" s="229"/>
      <c r="BJ47" s="195" t="n">
        <v>0</v>
      </c>
      <c r="BL47" s="156"/>
      <c r="BN47" s="158"/>
      <c r="BO47" s="158"/>
      <c r="BT47" s="227" t="n">
        <v>511</v>
      </c>
      <c r="BU47" s="232" t="s">
        <v>76</v>
      </c>
      <c r="BV47" s="233" t="n">
        <v>0</v>
      </c>
      <c r="BW47" s="229"/>
      <c r="BX47" s="195" t="n">
        <v>0</v>
      </c>
      <c r="BZ47" s="156"/>
      <c r="CB47" s="158"/>
      <c r="CC47" s="158"/>
    </row>
    <row r="48" customFormat="false" ht="12.85" hidden="false" customHeight="false" outlineLevel="0" collapsed="false">
      <c r="A48" s="192"/>
      <c r="B48" s="196" t="s">
        <v>279</v>
      </c>
      <c r="C48" s="234"/>
      <c r="D48" s="234"/>
      <c r="E48" s="198" t="n">
        <f aca="false">SUM(C48:D48)</f>
        <v>0</v>
      </c>
      <c r="H48" s="192"/>
      <c r="I48" s="196"/>
      <c r="J48" s="234"/>
      <c r="K48" s="234"/>
      <c r="L48" s="198" t="n">
        <f aca="false">SUM(J48:K48)</f>
        <v>0</v>
      </c>
      <c r="N48" s="192"/>
      <c r="O48" s="196"/>
      <c r="P48" s="234"/>
      <c r="Q48" s="234"/>
      <c r="R48" s="199" t="n">
        <f aca="false">SUM(P48:Q48)</f>
        <v>0</v>
      </c>
      <c r="T48" s="192"/>
      <c r="U48" s="202" t="s">
        <v>280</v>
      </c>
      <c r="V48" s="234"/>
      <c r="W48" s="234"/>
      <c r="X48" s="215" t="n">
        <f aca="false">SUM(V48:W48)</f>
        <v>0</v>
      </c>
      <c r="Y48" s="222" t="n">
        <v>14200</v>
      </c>
      <c r="AA48" s="192"/>
      <c r="AB48" s="196"/>
      <c r="AC48" s="234"/>
      <c r="AD48" s="234"/>
      <c r="AE48" s="215" t="n">
        <f aca="false">SUM(AC48:AD48)</f>
        <v>0</v>
      </c>
      <c r="AH48" s="192"/>
      <c r="AI48" s="196"/>
      <c r="AJ48" s="234"/>
      <c r="AK48" s="234"/>
      <c r="AL48" s="215" t="n">
        <f aca="false">SUM(AJ48:AK48)</f>
        <v>0</v>
      </c>
      <c r="AN48" s="156"/>
      <c r="AP48" s="157" t="s">
        <v>58</v>
      </c>
      <c r="AQ48" s="201" t="n">
        <f aca="false">(ABS(SUM(AK38:AK48))-AN37)/AQ37</f>
        <v>703.4</v>
      </c>
      <c r="AT48" s="192"/>
      <c r="AU48" s="196"/>
      <c r="AV48" s="234"/>
      <c r="AW48" s="234"/>
      <c r="AX48" s="215" t="n">
        <f aca="false">SUM(AV48:AW48)</f>
        <v>0</v>
      </c>
      <c r="AZ48" s="156"/>
      <c r="BB48" s="157" t="s">
        <v>58</v>
      </c>
      <c r="BC48" s="201" t="n">
        <f aca="false">(ABS(SUM(AW38:AW48))-AZ37)/BC37</f>
        <v>829.444444444444</v>
      </c>
      <c r="BF48" s="192"/>
      <c r="BG48" s="196"/>
      <c r="BH48" s="234"/>
      <c r="BI48" s="234"/>
      <c r="BJ48" s="215" t="n">
        <f aca="false">SUM(BH48:BI48)</f>
        <v>0</v>
      </c>
      <c r="BL48" s="156"/>
      <c r="BN48" s="157" t="s">
        <v>58</v>
      </c>
      <c r="BO48" s="201" t="n">
        <f aca="false">(ABS(SUM(BI38:BI48))-BL37)/BO37</f>
        <v>787.125</v>
      </c>
      <c r="BP48" s="151" t="n">
        <v>800</v>
      </c>
      <c r="BT48" s="192"/>
      <c r="BU48" s="196"/>
      <c r="BV48" s="234"/>
      <c r="BW48" s="234"/>
      <c r="BX48" s="215" t="n">
        <f aca="false">SUM(BV48:BW48)</f>
        <v>0</v>
      </c>
      <c r="BZ48" s="156"/>
      <c r="CB48" s="157" t="s">
        <v>58</v>
      </c>
      <c r="CC48" s="201" t="n">
        <f aca="false">(ABS(SUM(BW38:BW48))-BZ37)/CC37</f>
        <v>882.125</v>
      </c>
      <c r="CD48" s="151" t="n">
        <v>880</v>
      </c>
    </row>
    <row r="49" customFormat="false" ht="12.85" hidden="false" customHeight="false" outlineLevel="0" collapsed="false">
      <c r="E49" s="216" t="n">
        <f aca="false">SUM(E38:E48)</f>
        <v>-46200</v>
      </c>
      <c r="F49" s="152" t="n">
        <v>-17000</v>
      </c>
      <c r="G49" s="152" t="n">
        <f aca="false">SUM(G38:G48)</f>
        <v>-51940</v>
      </c>
      <c r="L49" s="216" t="n">
        <f aca="false">SUM(L38:L48)</f>
        <v>-21000</v>
      </c>
      <c r="P49" s="152"/>
      <c r="Q49" s="152"/>
      <c r="R49" s="217" t="n">
        <f aca="false">SUM(R38:R48)</f>
        <v>-30800</v>
      </c>
      <c r="V49" s="152"/>
      <c r="W49" s="152"/>
      <c r="X49" s="216" t="n">
        <f aca="false">SUM(X38:X48)</f>
        <v>-21575</v>
      </c>
      <c r="Y49" s="222" t="n">
        <v>-16950</v>
      </c>
      <c r="AC49" s="152"/>
      <c r="AD49" s="152"/>
      <c r="AE49" s="216" t="n">
        <f aca="false">SUM(AE38:AE48)</f>
        <v>-7325</v>
      </c>
      <c r="AJ49" s="152"/>
      <c r="AK49" s="152"/>
      <c r="AL49" s="216" t="n">
        <f aca="false">SUM(AL38:AL48)</f>
        <v>-18000</v>
      </c>
      <c r="AN49" s="156"/>
      <c r="AP49" s="157" t="s">
        <v>77</v>
      </c>
      <c r="AQ49" s="158"/>
      <c r="AV49" s="152"/>
      <c r="AW49" s="152"/>
      <c r="AX49" s="216" t="n">
        <f aca="false">SUM(AX38:AX48)</f>
        <v>-15000</v>
      </c>
      <c r="AZ49" s="156"/>
      <c r="BB49" s="157" t="s">
        <v>77</v>
      </c>
      <c r="BC49" s="158"/>
      <c r="BH49" s="152" t="n">
        <f aca="false">SUM(BH38:BH48)</f>
        <v>32000</v>
      </c>
      <c r="BI49" s="152" t="n">
        <f aca="false">SUM(BI38:BI48)</f>
        <v>-38485</v>
      </c>
      <c r="BJ49" s="216" t="n">
        <f aca="false">SUM(BJ38:BJ48)</f>
        <v>-6485</v>
      </c>
      <c r="BL49" s="156"/>
      <c r="BN49" s="157" t="s">
        <v>77</v>
      </c>
      <c r="BO49" s="158"/>
      <c r="BV49" s="152" t="n">
        <f aca="false">SUM(BV38:BV48)</f>
        <v>35200</v>
      </c>
      <c r="BW49" s="152" t="n">
        <f aca="false">SUM(BW38:BW48)</f>
        <v>-40285</v>
      </c>
      <c r="BX49" s="216" t="n">
        <f aca="false">SUM(BX38:BX48)</f>
        <v>-5085</v>
      </c>
      <c r="BZ49" s="156"/>
      <c r="CB49" s="157" t="s">
        <v>77</v>
      </c>
      <c r="CC49" s="158"/>
    </row>
    <row r="50" customFormat="false" ht="12.85" hidden="false" customHeight="false" outlineLevel="0" collapsed="false">
      <c r="E50" s="159"/>
      <c r="L50" s="159"/>
      <c r="P50" s="152"/>
      <c r="Q50" s="152"/>
      <c r="R50" s="218"/>
      <c r="V50" s="152"/>
      <c r="W50" s="152"/>
      <c r="X50" s="159"/>
      <c r="AC50" s="152"/>
      <c r="AD50" s="152"/>
      <c r="AE50" s="159"/>
      <c r="AJ50" s="152"/>
      <c r="AK50" s="152"/>
      <c r="AL50" s="159"/>
      <c r="AN50" s="156"/>
      <c r="AP50" s="158"/>
      <c r="AQ50" s="158"/>
      <c r="AV50" s="152"/>
      <c r="AW50" s="152"/>
      <c r="AX50" s="159"/>
      <c r="AZ50" s="156"/>
      <c r="BB50" s="158"/>
      <c r="BC50" s="158"/>
      <c r="BH50" s="152"/>
      <c r="BI50" s="152"/>
      <c r="BJ50" s="159"/>
      <c r="BL50" s="156"/>
      <c r="BN50" s="158"/>
      <c r="BO50" s="158"/>
      <c r="BV50" s="152"/>
      <c r="BW50" s="152"/>
      <c r="BX50" s="159"/>
      <c r="BZ50" s="156"/>
      <c r="CB50" s="158"/>
      <c r="CC50" s="158"/>
    </row>
    <row r="51" customFormat="false" ht="12.85" hidden="false" customHeight="false" outlineLevel="0" collapsed="false">
      <c r="V51" s="152"/>
      <c r="W51" s="152"/>
      <c r="AC51" s="152"/>
      <c r="AD51" s="152"/>
      <c r="AJ51" s="152"/>
      <c r="AK51" s="152"/>
      <c r="AN51" s="156"/>
      <c r="AP51" s="158"/>
      <c r="AQ51" s="158"/>
      <c r="AV51" s="152"/>
      <c r="AW51" s="152"/>
      <c r="AZ51" s="156"/>
      <c r="BB51" s="158"/>
      <c r="BC51" s="158"/>
      <c r="BH51" s="152"/>
      <c r="BI51" s="152"/>
      <c r="BL51" s="156"/>
      <c r="BN51" s="158"/>
      <c r="BO51" s="158"/>
      <c r="BV51" s="152"/>
      <c r="BW51" s="152"/>
      <c r="BZ51" s="156"/>
      <c r="CB51" s="158"/>
      <c r="CC51" s="158"/>
    </row>
    <row r="52" customFormat="false" ht="19.4" hidden="false" customHeight="false" outlineLevel="0" collapsed="false">
      <c r="B52" s="160" t="s">
        <v>281</v>
      </c>
      <c r="I52" s="160" t="s">
        <v>282</v>
      </c>
      <c r="O52" s="160" t="s">
        <v>282</v>
      </c>
      <c r="P52" s="152"/>
      <c r="Q52" s="152"/>
      <c r="U52" s="160" t="s">
        <v>283</v>
      </c>
      <c r="V52" s="152"/>
      <c r="W52" s="152"/>
      <c r="Z52" s="154"/>
      <c r="AB52" s="160" t="s">
        <v>284</v>
      </c>
      <c r="AC52" s="152"/>
      <c r="AD52" s="152"/>
      <c r="AI52" s="160" t="s">
        <v>285</v>
      </c>
      <c r="AJ52" s="152"/>
      <c r="AK52" s="152"/>
      <c r="AN52" s="156"/>
      <c r="AP52" s="158"/>
      <c r="AQ52" s="158"/>
      <c r="AU52" s="160" t="s">
        <v>286</v>
      </c>
      <c r="AV52" s="152"/>
      <c r="AW52" s="152"/>
      <c r="AZ52" s="156"/>
      <c r="BB52" s="158"/>
      <c r="BC52" s="158"/>
      <c r="BG52" s="160" t="s">
        <v>287</v>
      </c>
      <c r="BH52" s="152"/>
      <c r="BI52" s="152"/>
      <c r="BL52" s="156"/>
      <c r="BN52" s="158"/>
      <c r="BO52" s="158"/>
      <c r="BU52" s="160" t="s">
        <v>288</v>
      </c>
      <c r="BV52" s="152"/>
      <c r="BW52" s="152"/>
      <c r="BZ52" s="156"/>
      <c r="CB52" s="158"/>
      <c r="CC52" s="158"/>
    </row>
    <row r="53" customFormat="false" ht="12.85" hidden="false" customHeight="false" outlineLevel="0" collapsed="false">
      <c r="P53" s="152"/>
      <c r="Q53" s="152"/>
      <c r="U53" s="151" t="s">
        <v>289</v>
      </c>
      <c r="V53" s="152"/>
      <c r="W53" s="152"/>
      <c r="AB53" s="151" t="s">
        <v>290</v>
      </c>
      <c r="AC53" s="152"/>
      <c r="AD53" s="152"/>
      <c r="AI53" s="151" t="s">
        <v>290</v>
      </c>
      <c r="AJ53" s="152"/>
      <c r="AK53" s="152"/>
      <c r="AN53" s="156"/>
      <c r="AP53" s="158"/>
      <c r="AQ53" s="158"/>
      <c r="AV53" s="152"/>
      <c r="AW53" s="152"/>
      <c r="AZ53" s="156"/>
      <c r="BB53" s="158"/>
      <c r="BC53" s="158"/>
      <c r="BH53" s="152"/>
      <c r="BI53" s="152"/>
      <c r="BL53" s="156"/>
      <c r="BN53" s="158"/>
      <c r="BO53" s="158"/>
      <c r="BV53" s="152"/>
      <c r="BW53" s="152"/>
      <c r="BZ53" s="156"/>
      <c r="CB53" s="158"/>
      <c r="CC53" s="158"/>
    </row>
    <row r="54" customFormat="false" ht="17.65" hidden="false" customHeight="false" outlineLevel="0" collapsed="false">
      <c r="A54" s="161" t="s">
        <v>45</v>
      </c>
      <c r="B54" s="162" t="s">
        <v>46</v>
      </c>
      <c r="C54" s="163" t="s">
        <v>47</v>
      </c>
      <c r="D54" s="163" t="s">
        <v>48</v>
      </c>
      <c r="E54" s="164" t="s">
        <v>4</v>
      </c>
      <c r="G54" s="152" t="s">
        <v>291</v>
      </c>
      <c r="H54" s="161" t="s">
        <v>45</v>
      </c>
      <c r="I54" s="162" t="s">
        <v>46</v>
      </c>
      <c r="J54" s="163" t="s">
        <v>47</v>
      </c>
      <c r="K54" s="163" t="s">
        <v>48</v>
      </c>
      <c r="L54" s="164" t="s">
        <v>4</v>
      </c>
      <c r="N54" s="161" t="s">
        <v>45</v>
      </c>
      <c r="O54" s="162" t="s">
        <v>46</v>
      </c>
      <c r="P54" s="163" t="s">
        <v>47</v>
      </c>
      <c r="Q54" s="163" t="s">
        <v>48</v>
      </c>
      <c r="R54" s="165" t="s">
        <v>4</v>
      </c>
      <c r="T54" s="161" t="s">
        <v>45</v>
      </c>
      <c r="U54" s="162" t="s">
        <v>46</v>
      </c>
      <c r="V54" s="163" t="s">
        <v>47</v>
      </c>
      <c r="W54" s="163" t="s">
        <v>48</v>
      </c>
      <c r="X54" s="164" t="s">
        <v>4</v>
      </c>
      <c r="AA54" s="161" t="s">
        <v>45</v>
      </c>
      <c r="AB54" s="162" t="s">
        <v>46</v>
      </c>
      <c r="AC54" s="163" t="s">
        <v>47</v>
      </c>
      <c r="AD54" s="163" t="s">
        <v>48</v>
      </c>
      <c r="AE54" s="164" t="s">
        <v>4</v>
      </c>
      <c r="AH54" s="161" t="s">
        <v>45</v>
      </c>
      <c r="AI54" s="162" t="s">
        <v>46</v>
      </c>
      <c r="AJ54" s="163" t="s">
        <v>47</v>
      </c>
      <c r="AK54" s="163" t="s">
        <v>48</v>
      </c>
      <c r="AL54" s="164" t="s">
        <v>4</v>
      </c>
      <c r="AN54" s="156" t="n">
        <v>18000</v>
      </c>
      <c r="AP54" s="157" t="s">
        <v>49</v>
      </c>
      <c r="AQ54" s="166" t="n">
        <v>32</v>
      </c>
      <c r="AT54" s="161" t="s">
        <v>45</v>
      </c>
      <c r="AU54" s="162" t="s">
        <v>46</v>
      </c>
      <c r="AV54" s="163" t="s">
        <v>47</v>
      </c>
      <c r="AW54" s="163" t="s">
        <v>48</v>
      </c>
      <c r="AX54" s="164" t="s">
        <v>4</v>
      </c>
      <c r="AZ54" s="156" t="n">
        <v>15000</v>
      </c>
      <c r="BB54" s="157" t="s">
        <v>49</v>
      </c>
      <c r="BC54" s="166" t="n">
        <v>32</v>
      </c>
      <c r="BF54" s="161" t="s">
        <v>45</v>
      </c>
      <c r="BG54" s="162" t="s">
        <v>46</v>
      </c>
      <c r="BH54" s="163" t="s">
        <v>47</v>
      </c>
      <c r="BI54" s="163" t="s">
        <v>48</v>
      </c>
      <c r="BJ54" s="164" t="s">
        <v>4</v>
      </c>
      <c r="BL54" s="156" t="n">
        <v>19000</v>
      </c>
      <c r="BM54" s="151" t="n">
        <v>13500</v>
      </c>
      <c r="BN54" s="157" t="s">
        <v>49</v>
      </c>
      <c r="BO54" s="166" t="n">
        <v>32</v>
      </c>
      <c r="BT54" s="161" t="s">
        <v>45</v>
      </c>
      <c r="BU54" s="162" t="s">
        <v>46</v>
      </c>
      <c r="BV54" s="163" t="s">
        <v>47</v>
      </c>
      <c r="BW54" s="163" t="s">
        <v>48</v>
      </c>
      <c r="BX54" s="164" t="s">
        <v>4</v>
      </c>
      <c r="BZ54" s="156" t="n">
        <v>40000</v>
      </c>
      <c r="CA54" s="151" t="n">
        <v>13500</v>
      </c>
      <c r="CB54" s="157" t="s">
        <v>49</v>
      </c>
      <c r="CC54" s="166" t="n">
        <v>32</v>
      </c>
    </row>
    <row r="55" customFormat="false" ht="12.85" hidden="false" customHeight="false" outlineLevel="0" collapsed="false">
      <c r="A55" s="167"/>
      <c r="B55" s="168" t="s">
        <v>292</v>
      </c>
      <c r="C55" s="219"/>
      <c r="D55" s="219" t="n">
        <v>-12500</v>
      </c>
      <c r="E55" s="171" t="n">
        <f aca="false">SUM(C55:D55)</f>
        <v>-12500</v>
      </c>
      <c r="G55" s="209" t="n">
        <v>-10621</v>
      </c>
      <c r="H55" s="167"/>
      <c r="I55" s="168" t="s">
        <v>253</v>
      </c>
      <c r="J55" s="219"/>
      <c r="K55" s="220" t="n">
        <v>-10000</v>
      </c>
      <c r="L55" s="171" t="n">
        <f aca="false">SUM(J55:K55)</f>
        <v>-10000</v>
      </c>
      <c r="M55" s="151" t="s">
        <v>181</v>
      </c>
      <c r="N55" s="167" t="n">
        <v>601</v>
      </c>
      <c r="O55" s="168" t="s">
        <v>253</v>
      </c>
      <c r="P55" s="219"/>
      <c r="Q55" s="221" t="n">
        <v>-10000</v>
      </c>
      <c r="R55" s="174" t="n">
        <f aca="false">SUM(P55:Q55)</f>
        <v>-10000</v>
      </c>
      <c r="T55" s="167" t="n">
        <v>601</v>
      </c>
      <c r="U55" s="168" t="s">
        <v>293</v>
      </c>
      <c r="V55" s="219"/>
      <c r="W55" s="221" t="n">
        <v>-27000</v>
      </c>
      <c r="X55" s="211" t="n">
        <f aca="false">SUM(V55:W55)</f>
        <v>-27000</v>
      </c>
      <c r="Y55" s="152" t="s">
        <v>294</v>
      </c>
      <c r="AA55" s="167" t="n">
        <v>601</v>
      </c>
      <c r="AB55" s="168" t="s">
        <v>295</v>
      </c>
      <c r="AC55" s="219"/>
      <c r="AD55" s="221" t="n">
        <v>-12000</v>
      </c>
      <c r="AE55" s="211" t="n">
        <f aca="false">SUM(AC55:AD55)</f>
        <v>-12000</v>
      </c>
      <c r="AH55" s="167" t="n">
        <v>601</v>
      </c>
      <c r="AI55" s="168" t="s">
        <v>295</v>
      </c>
      <c r="AJ55" s="219"/>
      <c r="AK55" s="223" t="n">
        <v>-11872</v>
      </c>
      <c r="AL55" s="211" t="n">
        <f aca="false">SUM(AJ55:AK55)</f>
        <v>-11872</v>
      </c>
      <c r="AN55" s="156"/>
      <c r="AP55" s="158"/>
      <c r="AQ55" s="158"/>
      <c r="AT55" s="167" t="n">
        <v>601</v>
      </c>
      <c r="AU55" s="168" t="s">
        <v>296</v>
      </c>
      <c r="AV55" s="219"/>
      <c r="AW55" s="223" t="n">
        <v>-12000</v>
      </c>
      <c r="AX55" s="211" t="n">
        <f aca="false">SUM(AV55:AW55)</f>
        <v>-12000</v>
      </c>
      <c r="AZ55" s="156"/>
      <c r="BB55" s="158"/>
      <c r="BC55" s="158"/>
      <c r="BF55" s="167" t="n">
        <v>601</v>
      </c>
      <c r="BG55" s="168" t="s">
        <v>297</v>
      </c>
      <c r="BH55" s="219"/>
      <c r="BI55" s="223" t="n">
        <v>-14000</v>
      </c>
      <c r="BJ55" s="211" t="n">
        <f aca="false">SUM(BH55:BI55)</f>
        <v>-14000</v>
      </c>
      <c r="BL55" s="156"/>
      <c r="BN55" s="158"/>
      <c r="BO55" s="158"/>
      <c r="BT55" s="167" t="n">
        <v>601</v>
      </c>
      <c r="BU55" s="168" t="s">
        <v>298</v>
      </c>
      <c r="BV55" s="219"/>
      <c r="BW55" s="223" t="n">
        <v>-30000</v>
      </c>
      <c r="BX55" s="211" t="n">
        <f aca="false">SUM(BV55:BW55)</f>
        <v>-30000</v>
      </c>
      <c r="BZ55" s="156"/>
      <c r="CB55" s="158"/>
      <c r="CC55" s="158"/>
    </row>
    <row r="56" customFormat="false" ht="12.85" hidden="false" customHeight="false" outlineLevel="0" collapsed="false">
      <c r="A56" s="167"/>
      <c r="B56" s="168" t="s">
        <v>299</v>
      </c>
      <c r="C56" s="219"/>
      <c r="D56" s="219" t="n">
        <v>-600</v>
      </c>
      <c r="E56" s="171" t="n">
        <f aca="false">SUM(C56:D56)</f>
        <v>-600</v>
      </c>
      <c r="G56" s="152" t="s">
        <v>255</v>
      </c>
      <c r="H56" s="167"/>
      <c r="I56" s="168" t="s">
        <v>299</v>
      </c>
      <c r="J56" s="219"/>
      <c r="K56" s="219" t="n">
        <v>0</v>
      </c>
      <c r="L56" s="171" t="n">
        <f aca="false">SUM(J56:K56)</f>
        <v>0</v>
      </c>
      <c r="N56" s="167" t="n">
        <v>602</v>
      </c>
      <c r="O56" s="168" t="s">
        <v>299</v>
      </c>
      <c r="P56" s="219"/>
      <c r="Q56" s="219" t="n">
        <v>0</v>
      </c>
      <c r="R56" s="174" t="n">
        <f aca="false">SUM(P56:Q56)</f>
        <v>0</v>
      </c>
      <c r="T56" s="167" t="n">
        <v>602</v>
      </c>
      <c r="U56" s="168" t="s">
        <v>62</v>
      </c>
      <c r="V56" s="219"/>
      <c r="W56" s="219" t="n">
        <v>-1600</v>
      </c>
      <c r="X56" s="211" t="n">
        <f aca="false">SUM(V56:W56)</f>
        <v>-1600</v>
      </c>
      <c r="AA56" s="167" t="n">
        <v>602</v>
      </c>
      <c r="AB56" s="168" t="s">
        <v>62</v>
      </c>
      <c r="AC56" s="219"/>
      <c r="AD56" s="219" t="n">
        <v>-1600</v>
      </c>
      <c r="AE56" s="211" t="n">
        <f aca="false">SUM(AC56:AD56)</f>
        <v>-1600</v>
      </c>
      <c r="AH56" s="167" t="n">
        <v>602</v>
      </c>
      <c r="AI56" s="168" t="s">
        <v>62</v>
      </c>
      <c r="AJ56" s="219"/>
      <c r="AK56" s="219" t="n">
        <v>-1200</v>
      </c>
      <c r="AL56" s="211" t="n">
        <f aca="false">SUM(AJ56:AK56)</f>
        <v>-1200</v>
      </c>
      <c r="AN56" s="156"/>
      <c r="AP56" s="158"/>
      <c r="AQ56" s="158"/>
      <c r="AT56" s="167" t="n">
        <v>602</v>
      </c>
      <c r="AU56" s="168" t="s">
        <v>62</v>
      </c>
      <c r="AV56" s="219"/>
      <c r="AW56" s="219" t="n">
        <v>-1200</v>
      </c>
      <c r="AX56" s="211" t="n">
        <f aca="false">SUM(AV56:AW56)</f>
        <v>-1200</v>
      </c>
      <c r="AZ56" s="156"/>
      <c r="BB56" s="158"/>
      <c r="BC56" s="158"/>
      <c r="BF56" s="167" t="n">
        <v>602</v>
      </c>
      <c r="BG56" s="168" t="s">
        <v>62</v>
      </c>
      <c r="BH56" s="219"/>
      <c r="BI56" s="219" t="n">
        <v>-1200</v>
      </c>
      <c r="BJ56" s="211" t="n">
        <f aca="false">SUM(BH56:BI56)</f>
        <v>-1200</v>
      </c>
      <c r="BL56" s="156"/>
      <c r="BN56" s="158"/>
      <c r="BO56" s="158"/>
      <c r="BT56" s="167" t="n">
        <v>602</v>
      </c>
      <c r="BU56" s="168" t="s">
        <v>222</v>
      </c>
      <c r="BV56" s="219"/>
      <c r="BW56" s="219" t="n">
        <v>-3000</v>
      </c>
      <c r="BX56" s="211" t="n">
        <f aca="false">SUM(BV56:BW56)</f>
        <v>-3000</v>
      </c>
      <c r="BZ56" s="156"/>
      <c r="CB56" s="158"/>
      <c r="CC56" s="158"/>
    </row>
    <row r="57" customFormat="false" ht="12.85" hidden="false" customHeight="false" outlineLevel="0" collapsed="false">
      <c r="A57" s="181"/>
      <c r="B57" s="178" t="s">
        <v>300</v>
      </c>
      <c r="C57" s="194"/>
      <c r="D57" s="194" t="n">
        <v>-12000</v>
      </c>
      <c r="E57" s="184" t="n">
        <f aca="false">SUM(C57:D57)</f>
        <v>-12000</v>
      </c>
      <c r="G57" s="152" t="n">
        <v>-15095</v>
      </c>
      <c r="H57" s="181"/>
      <c r="I57" s="178" t="s">
        <v>300</v>
      </c>
      <c r="J57" s="194"/>
      <c r="K57" s="194" t="n">
        <v>-16000</v>
      </c>
      <c r="L57" s="184" t="n">
        <f aca="false">SUM(J57:K57)</f>
        <v>-16000</v>
      </c>
      <c r="N57" s="181" t="n">
        <v>603</v>
      </c>
      <c r="O57" s="178" t="s">
        <v>300</v>
      </c>
      <c r="P57" s="194"/>
      <c r="Q57" s="194" t="n">
        <v>-16000</v>
      </c>
      <c r="R57" s="185" t="n">
        <f aca="false">SUM(P57:Q57)</f>
        <v>-16000</v>
      </c>
      <c r="T57" s="181" t="n">
        <v>603</v>
      </c>
      <c r="U57" s="178" t="s">
        <v>301</v>
      </c>
      <c r="V57" s="194"/>
      <c r="W57" s="194" t="n">
        <f aca="false">-400*32</f>
        <v>-12800</v>
      </c>
      <c r="X57" s="214" t="n">
        <f aca="false">SUM(V57:W57)</f>
        <v>-12800</v>
      </c>
      <c r="AA57" s="181" t="n">
        <v>603</v>
      </c>
      <c r="AB57" s="178" t="s">
        <v>302</v>
      </c>
      <c r="AC57" s="194"/>
      <c r="AD57" s="194" t="n">
        <f aca="false">-600*32</f>
        <v>-19200</v>
      </c>
      <c r="AE57" s="214" t="n">
        <f aca="false">SUM(AC57:AD57)</f>
        <v>-19200</v>
      </c>
      <c r="AH57" s="181" t="n">
        <v>603</v>
      </c>
      <c r="AI57" s="178" t="s">
        <v>302</v>
      </c>
      <c r="AJ57" s="194"/>
      <c r="AK57" s="194" t="n">
        <f aca="false">-600*32</f>
        <v>-19200</v>
      </c>
      <c r="AL57" s="214" t="n">
        <f aca="false">SUM(AJ57:AK57)</f>
        <v>-19200</v>
      </c>
      <c r="AN57" s="156"/>
      <c r="AP57" s="158"/>
      <c r="AQ57" s="158"/>
      <c r="AT57" s="181" t="n">
        <v>603</v>
      </c>
      <c r="AU57" s="178" t="s">
        <v>302</v>
      </c>
      <c r="AV57" s="194"/>
      <c r="AW57" s="194" t="n">
        <f aca="false">-600*32</f>
        <v>-19200</v>
      </c>
      <c r="AX57" s="214" t="n">
        <f aca="false">SUM(AV57:AW57)</f>
        <v>-19200</v>
      </c>
      <c r="AZ57" s="156"/>
      <c r="BB57" s="158"/>
      <c r="BC57" s="158"/>
      <c r="BF57" s="181" t="n">
        <v>603</v>
      </c>
      <c r="BG57" s="178" t="s">
        <v>303</v>
      </c>
      <c r="BH57" s="194"/>
      <c r="BI57" s="194" t="n">
        <f aca="false">-800*32</f>
        <v>-25600</v>
      </c>
      <c r="BJ57" s="214" t="n">
        <f aca="false">SUM(BH57:BI57)</f>
        <v>-25600</v>
      </c>
      <c r="BL57" s="156"/>
      <c r="BN57" s="158"/>
      <c r="BO57" s="158"/>
      <c r="BT57" s="181" t="n">
        <v>603</v>
      </c>
      <c r="BU57" s="178" t="s">
        <v>144</v>
      </c>
      <c r="BV57" s="194"/>
      <c r="BW57" s="194" t="n">
        <f aca="false">-1200*32</f>
        <v>-38400</v>
      </c>
      <c r="BX57" s="214" t="n">
        <f aca="false">SUM(BV57:BW57)</f>
        <v>-38400</v>
      </c>
      <c r="BZ57" s="156"/>
      <c r="CB57" s="158"/>
      <c r="CC57" s="158"/>
    </row>
    <row r="58" customFormat="false" ht="12.85" hidden="false" customHeight="false" outlineLevel="0" collapsed="false">
      <c r="A58" s="181"/>
      <c r="B58" s="178" t="s">
        <v>304</v>
      </c>
      <c r="C58" s="194"/>
      <c r="D58" s="194" t="n">
        <v>-11000</v>
      </c>
      <c r="E58" s="184" t="n">
        <f aca="false">SUM(C58:D58)</f>
        <v>-11000</v>
      </c>
      <c r="G58" s="152" t="n">
        <v>-10200</v>
      </c>
      <c r="H58" s="181"/>
      <c r="I58" s="178" t="s">
        <v>304</v>
      </c>
      <c r="J58" s="194"/>
      <c r="K58" s="194" t="n">
        <v>-11000</v>
      </c>
      <c r="L58" s="184" t="n">
        <f aca="false">SUM(J58:K58)</f>
        <v>-11000</v>
      </c>
      <c r="N58" s="181" t="n">
        <v>604</v>
      </c>
      <c r="O58" s="178" t="s">
        <v>304</v>
      </c>
      <c r="P58" s="194"/>
      <c r="Q58" s="194" t="n">
        <v>-11000</v>
      </c>
      <c r="R58" s="185" t="n">
        <f aca="false">SUM(P58:Q58)</f>
        <v>-11000</v>
      </c>
      <c r="T58" s="181" t="n">
        <v>604</v>
      </c>
      <c r="U58" s="178" t="s">
        <v>305</v>
      </c>
      <c r="V58" s="194"/>
      <c r="W58" s="194" t="n">
        <f aca="false">-260*2*32-8000</f>
        <v>-24640</v>
      </c>
      <c r="X58" s="214" t="n">
        <f aca="false">SUM(V58:W58)</f>
        <v>-24640</v>
      </c>
      <c r="Y58" s="152" t="s">
        <v>306</v>
      </c>
      <c r="AA58" s="181" t="n">
        <v>604</v>
      </c>
      <c r="AB58" s="178" t="s">
        <v>307</v>
      </c>
      <c r="AC58" s="194"/>
      <c r="AD58" s="194" t="n">
        <f aca="false">-600*4</f>
        <v>-2400</v>
      </c>
      <c r="AE58" s="214" t="n">
        <f aca="false">SUM(AC58:AD58)</f>
        <v>-2400</v>
      </c>
      <c r="AH58" s="181" t="n">
        <v>604</v>
      </c>
      <c r="AI58" s="178" t="s">
        <v>307</v>
      </c>
      <c r="AJ58" s="194"/>
      <c r="AK58" s="194" t="n">
        <f aca="false">-600*4</f>
        <v>-2400</v>
      </c>
      <c r="AL58" s="214" t="n">
        <f aca="false">SUM(AJ58:AK58)</f>
        <v>-2400</v>
      </c>
      <c r="AN58" s="156"/>
      <c r="AP58" s="158"/>
      <c r="AQ58" s="158"/>
      <c r="AT58" s="181" t="n">
        <v>604</v>
      </c>
      <c r="AU58" s="178" t="s">
        <v>307</v>
      </c>
      <c r="AV58" s="194"/>
      <c r="AW58" s="194" t="n">
        <f aca="false">-600*4</f>
        <v>-2400</v>
      </c>
      <c r="AX58" s="214" t="n">
        <f aca="false">SUM(AV58:AW58)</f>
        <v>-2400</v>
      </c>
      <c r="AZ58" s="156"/>
      <c r="BB58" s="158"/>
      <c r="BC58" s="158"/>
      <c r="BF58" s="181" t="n">
        <v>604</v>
      </c>
      <c r="BG58" s="178" t="s">
        <v>308</v>
      </c>
      <c r="BH58" s="194"/>
      <c r="BI58" s="194" t="n">
        <f aca="false">-800*4</f>
        <v>-3200</v>
      </c>
      <c r="BJ58" s="214" t="n">
        <f aca="false">SUM(BH58:BI58)</f>
        <v>-3200</v>
      </c>
      <c r="BL58" s="156"/>
      <c r="BN58" s="158"/>
      <c r="BO58" s="158"/>
      <c r="BT58" s="181" t="n">
        <v>604</v>
      </c>
      <c r="BU58" s="178" t="s">
        <v>145</v>
      </c>
      <c r="BV58" s="194"/>
      <c r="BW58" s="194" t="n">
        <f aca="false">-1200*4</f>
        <v>-4800</v>
      </c>
      <c r="BX58" s="214" t="n">
        <f aca="false">SUM(BV58:BW58)</f>
        <v>-4800</v>
      </c>
      <c r="BZ58" s="156"/>
      <c r="CB58" s="158"/>
      <c r="CC58" s="158"/>
    </row>
    <row r="59" customFormat="false" ht="12.85" hidden="false" customHeight="false" outlineLevel="0" collapsed="false">
      <c r="A59" s="181"/>
      <c r="B59" s="178"/>
      <c r="C59" s="194"/>
      <c r="D59" s="194"/>
      <c r="E59" s="184"/>
      <c r="H59" s="181"/>
      <c r="I59" s="178"/>
      <c r="J59" s="194"/>
      <c r="K59" s="194"/>
      <c r="L59" s="184"/>
      <c r="N59" s="181"/>
      <c r="O59" s="178"/>
      <c r="P59" s="194"/>
      <c r="Q59" s="194"/>
      <c r="R59" s="185"/>
      <c r="T59" s="181" t="n">
        <v>605</v>
      </c>
      <c r="U59" s="178" t="s">
        <v>309</v>
      </c>
      <c r="V59" s="194"/>
      <c r="W59" s="194" t="n">
        <f aca="false">-650*4</f>
        <v>-2600</v>
      </c>
      <c r="X59" s="214" t="n">
        <f aca="false">SUM(V59:W59)</f>
        <v>-2600</v>
      </c>
      <c r="AA59" s="181" t="n">
        <v>605</v>
      </c>
      <c r="AB59" s="178" t="s">
        <v>83</v>
      </c>
      <c r="AC59" s="194"/>
      <c r="AD59" s="194" t="n">
        <f aca="false">-610*32</f>
        <v>-19520</v>
      </c>
      <c r="AE59" s="214" t="n">
        <f aca="false">AD59</f>
        <v>-19520</v>
      </c>
      <c r="AH59" s="181" t="n">
        <v>605</v>
      </c>
      <c r="AI59" s="178" t="s">
        <v>83</v>
      </c>
      <c r="AJ59" s="194"/>
      <c r="AK59" s="194" t="n">
        <f aca="false">-610*32</f>
        <v>-19520</v>
      </c>
      <c r="AL59" s="214" t="n">
        <f aca="false">AK59</f>
        <v>-19520</v>
      </c>
      <c r="AN59" s="156"/>
      <c r="AP59" s="158"/>
      <c r="AQ59" s="158"/>
      <c r="AT59" s="181" t="n">
        <v>605</v>
      </c>
      <c r="AU59" s="178" t="s">
        <v>83</v>
      </c>
      <c r="AV59" s="194"/>
      <c r="AW59" s="194" t="n">
        <f aca="false">-610*32</f>
        <v>-19520</v>
      </c>
      <c r="AX59" s="214" t="n">
        <f aca="false">AW59</f>
        <v>-19520</v>
      </c>
      <c r="AZ59" s="156"/>
      <c r="BB59" s="158"/>
      <c r="BC59" s="158"/>
      <c r="BF59" s="181" t="n">
        <v>605</v>
      </c>
      <c r="BG59" s="178" t="s">
        <v>83</v>
      </c>
      <c r="BH59" s="194"/>
      <c r="BI59" s="194" t="n">
        <f aca="false">-610*BO54</f>
        <v>-19520</v>
      </c>
      <c r="BJ59" s="214" t="n">
        <f aca="false">BI59</f>
        <v>-19520</v>
      </c>
      <c r="BL59" s="156"/>
      <c r="BN59" s="158"/>
      <c r="BO59" s="158"/>
      <c r="BT59" s="181" t="n">
        <v>605</v>
      </c>
      <c r="BU59" s="178" t="s">
        <v>83</v>
      </c>
      <c r="BV59" s="194"/>
      <c r="BW59" s="194" t="n">
        <f aca="false">-610*CC54</f>
        <v>-19520</v>
      </c>
      <c r="BX59" s="214" t="n">
        <f aca="false">BW59</f>
        <v>-19520</v>
      </c>
      <c r="BZ59" s="156"/>
      <c r="CB59" s="158"/>
      <c r="CC59" s="158"/>
    </row>
    <row r="60" customFormat="false" ht="13.4" hidden="false" customHeight="false" outlineLevel="0" collapsed="false">
      <c r="A60" s="181"/>
      <c r="B60" s="178" t="s">
        <v>310</v>
      </c>
      <c r="C60" s="194" t="n">
        <v>18000</v>
      </c>
      <c r="D60" s="194"/>
      <c r="E60" s="184" t="n">
        <f aca="false">SUM(C60:D60)</f>
        <v>18000</v>
      </c>
      <c r="G60" s="189" t="n">
        <f aca="false">950*21</f>
        <v>19950</v>
      </c>
      <c r="H60" s="181"/>
      <c r="I60" s="178" t="s">
        <v>311</v>
      </c>
      <c r="J60" s="194" t="n">
        <v>20000</v>
      </c>
      <c r="K60" s="194"/>
      <c r="L60" s="184" t="n">
        <f aca="false">SUM(J60:K60)</f>
        <v>20000</v>
      </c>
      <c r="N60" s="181" t="n">
        <v>605</v>
      </c>
      <c r="O60" s="178" t="s">
        <v>311</v>
      </c>
      <c r="P60" s="194" t="n">
        <v>20000</v>
      </c>
      <c r="Q60" s="194"/>
      <c r="R60" s="185" t="n">
        <f aca="false">SUM(P60:Q60)</f>
        <v>20000</v>
      </c>
      <c r="T60" s="227" t="n">
        <v>606</v>
      </c>
      <c r="U60" s="178" t="s">
        <v>312</v>
      </c>
      <c r="V60" s="235" t="n">
        <f aca="false">32*1000</f>
        <v>32000</v>
      </c>
      <c r="W60" s="194"/>
      <c r="X60" s="214" t="n">
        <f aca="false">SUM(V60:W60)</f>
        <v>32000</v>
      </c>
      <c r="AA60" s="227" t="n">
        <v>606</v>
      </c>
      <c r="AB60" s="178" t="s">
        <v>84</v>
      </c>
      <c r="AC60" s="194"/>
      <c r="AD60" s="194" t="n">
        <f aca="false">-1000*8</f>
        <v>-8000</v>
      </c>
      <c r="AE60" s="214" t="n">
        <f aca="false">AD60</f>
        <v>-8000</v>
      </c>
      <c r="AH60" s="227" t="n">
        <v>606</v>
      </c>
      <c r="AI60" s="178" t="s">
        <v>84</v>
      </c>
      <c r="AJ60" s="194"/>
      <c r="AK60" s="194" t="n">
        <f aca="false">-1000*8</f>
        <v>-8000</v>
      </c>
      <c r="AL60" s="214" t="n">
        <f aca="false">AK60</f>
        <v>-8000</v>
      </c>
      <c r="AN60" s="156"/>
      <c r="AP60" s="158"/>
      <c r="AQ60" s="158"/>
      <c r="AT60" s="227" t="n">
        <v>606</v>
      </c>
      <c r="AU60" s="178" t="s">
        <v>84</v>
      </c>
      <c r="AV60" s="194"/>
      <c r="AW60" s="194" t="n">
        <f aca="false">-1000*8</f>
        <v>-8000</v>
      </c>
      <c r="AX60" s="214" t="n">
        <f aca="false">AW60</f>
        <v>-8000</v>
      </c>
      <c r="AZ60" s="156"/>
      <c r="BB60" s="158"/>
      <c r="BC60" s="158"/>
      <c r="BF60" s="227" t="n">
        <v>606</v>
      </c>
      <c r="BG60" s="178" t="s">
        <v>84</v>
      </c>
      <c r="BH60" s="194"/>
      <c r="BI60" s="194" t="n">
        <f aca="false">-1000*8</f>
        <v>-8000</v>
      </c>
      <c r="BJ60" s="214" t="n">
        <f aca="false">BI60</f>
        <v>-8000</v>
      </c>
      <c r="BL60" s="156"/>
      <c r="BN60" s="158"/>
      <c r="BO60" s="158"/>
      <c r="BT60" s="227" t="n">
        <v>606</v>
      </c>
      <c r="BU60" s="178" t="s">
        <v>84</v>
      </c>
      <c r="BV60" s="194"/>
      <c r="BW60" s="194" t="n">
        <f aca="false">-1000*8</f>
        <v>-8000</v>
      </c>
      <c r="BX60" s="214" t="n">
        <f aca="false">BW60</f>
        <v>-8000</v>
      </c>
      <c r="BZ60" s="156"/>
      <c r="CB60" s="158"/>
      <c r="CC60" s="158"/>
    </row>
    <row r="61" customFormat="false" ht="12.85" hidden="false" customHeight="false" outlineLevel="0" collapsed="false">
      <c r="A61" s="227"/>
      <c r="B61" s="236" t="s">
        <v>313</v>
      </c>
      <c r="C61" s="229"/>
      <c r="D61" s="229"/>
      <c r="E61" s="230"/>
      <c r="G61" s="152" t="n">
        <v>-590</v>
      </c>
      <c r="H61" s="227"/>
      <c r="I61" s="228"/>
      <c r="J61" s="229"/>
      <c r="K61" s="229"/>
      <c r="L61" s="230"/>
      <c r="N61" s="227"/>
      <c r="O61" s="228"/>
      <c r="P61" s="229"/>
      <c r="Q61" s="229"/>
      <c r="R61" s="231"/>
      <c r="T61" s="227" t="n">
        <v>607</v>
      </c>
      <c r="U61" s="232" t="s">
        <v>87</v>
      </c>
      <c r="V61" s="229" t="n">
        <v>0</v>
      </c>
      <c r="W61" s="229"/>
      <c r="X61" s="195" t="n">
        <v>0</v>
      </c>
      <c r="AA61" s="227" t="n">
        <v>607</v>
      </c>
      <c r="AB61" s="178" t="s">
        <v>85</v>
      </c>
      <c r="AC61" s="194"/>
      <c r="AD61" s="194" t="n">
        <f aca="false">-390*4</f>
        <v>-1560</v>
      </c>
      <c r="AE61" s="214" t="n">
        <f aca="false">SUM(AC61:AD61)</f>
        <v>-1560</v>
      </c>
      <c r="AH61" s="227" t="n">
        <v>607</v>
      </c>
      <c r="AI61" s="178" t="s">
        <v>85</v>
      </c>
      <c r="AJ61" s="194"/>
      <c r="AK61" s="194" t="n">
        <f aca="false">-390*4</f>
        <v>-1560</v>
      </c>
      <c r="AL61" s="214" t="n">
        <f aca="false">SUM(AJ61:AK61)</f>
        <v>-1560</v>
      </c>
      <c r="AN61" s="156"/>
      <c r="AP61" s="158"/>
      <c r="AQ61" s="158"/>
      <c r="AT61" s="227" t="n">
        <v>607</v>
      </c>
      <c r="AU61" s="178" t="s">
        <v>85</v>
      </c>
      <c r="AV61" s="194"/>
      <c r="AW61" s="194" t="n">
        <f aca="false">-390*4</f>
        <v>-1560</v>
      </c>
      <c r="AX61" s="214" t="n">
        <f aca="false">SUM(AV61:AW61)</f>
        <v>-1560</v>
      </c>
      <c r="AZ61" s="156"/>
      <c r="BB61" s="158"/>
      <c r="BC61" s="158"/>
      <c r="BF61" s="227" t="n">
        <v>607</v>
      </c>
      <c r="BG61" s="178" t="s">
        <v>85</v>
      </c>
      <c r="BH61" s="194"/>
      <c r="BI61" s="194" t="n">
        <f aca="false">-390*4</f>
        <v>-1560</v>
      </c>
      <c r="BJ61" s="214" t="n">
        <f aca="false">SUM(BH61:BI61)</f>
        <v>-1560</v>
      </c>
      <c r="BL61" s="156"/>
      <c r="BN61" s="158"/>
      <c r="BO61" s="158"/>
      <c r="BT61" s="227" t="n">
        <v>607</v>
      </c>
      <c r="BU61" s="178" t="s">
        <v>85</v>
      </c>
      <c r="BV61" s="194"/>
      <c r="BW61" s="194" t="n">
        <f aca="false">-390*4</f>
        <v>-1560</v>
      </c>
      <c r="BX61" s="214" t="n">
        <f aca="false">SUM(BV61:BW61)</f>
        <v>-1560</v>
      </c>
      <c r="BZ61" s="156"/>
      <c r="CB61" s="158"/>
      <c r="CC61" s="158"/>
    </row>
    <row r="62" customFormat="false" ht="12.85" hidden="false" customHeight="false" outlineLevel="0" collapsed="false">
      <c r="A62" s="227"/>
      <c r="B62" s="228" t="s">
        <v>314</v>
      </c>
      <c r="C62" s="229"/>
      <c r="D62" s="229"/>
      <c r="E62" s="230"/>
      <c r="H62" s="227"/>
      <c r="I62" s="228"/>
      <c r="J62" s="229"/>
      <c r="K62" s="229"/>
      <c r="L62" s="230"/>
      <c r="N62" s="227"/>
      <c r="O62" s="228"/>
      <c r="P62" s="229"/>
      <c r="Q62" s="229"/>
      <c r="R62" s="231"/>
      <c r="T62" s="227" t="n">
        <v>608</v>
      </c>
      <c r="U62" s="232" t="s">
        <v>315</v>
      </c>
      <c r="V62" s="233" t="s">
        <v>98</v>
      </c>
      <c r="W62" s="229"/>
      <c r="X62" s="195"/>
      <c r="AA62" s="227" t="n">
        <v>608</v>
      </c>
      <c r="AB62" s="178" t="s">
        <v>316</v>
      </c>
      <c r="AC62" s="235" t="n">
        <f aca="false">32*1600</f>
        <v>51200</v>
      </c>
      <c r="AD62" s="194"/>
      <c r="AE62" s="214" t="n">
        <f aca="false">SUM(AC62:AD62)</f>
        <v>51200</v>
      </c>
      <c r="AH62" s="227" t="n">
        <v>608</v>
      </c>
      <c r="AI62" s="178" t="s">
        <v>146</v>
      </c>
      <c r="AJ62" s="235" t="n">
        <f aca="false">AQ54*AQ66</f>
        <v>45752</v>
      </c>
      <c r="AK62" s="194"/>
      <c r="AL62" s="214" t="n">
        <f aca="false">SUM(AJ62:AK62)</f>
        <v>45752</v>
      </c>
      <c r="AN62" s="156"/>
      <c r="AP62" s="158"/>
      <c r="AQ62" s="158"/>
      <c r="AT62" s="227" t="n">
        <v>608</v>
      </c>
      <c r="AU62" s="178" t="s">
        <v>146</v>
      </c>
      <c r="AV62" s="235" t="n">
        <f aca="false">BC54*BC66</f>
        <v>48880</v>
      </c>
      <c r="AW62" s="194"/>
      <c r="AX62" s="214" t="n">
        <f aca="false">SUM(AV62:AW62)</f>
        <v>48880</v>
      </c>
      <c r="AZ62" s="156"/>
      <c r="BB62" s="158"/>
      <c r="BC62" s="158"/>
      <c r="BF62" s="227" t="n">
        <v>608</v>
      </c>
      <c r="BG62" s="178" t="s">
        <v>146</v>
      </c>
      <c r="BH62" s="235" t="n">
        <f aca="false">BO54*BP66</f>
        <v>56000</v>
      </c>
      <c r="BI62" s="194"/>
      <c r="BJ62" s="214" t="n">
        <f aca="false">SUM(BH62:BI62)</f>
        <v>56000</v>
      </c>
      <c r="BL62" s="156"/>
      <c r="BN62" s="158"/>
      <c r="BO62" s="158"/>
      <c r="BT62" s="227" t="n">
        <v>608</v>
      </c>
      <c r="BU62" s="178" t="s">
        <v>317</v>
      </c>
      <c r="BV62" s="235" t="n">
        <f aca="false">CC54*CD66</f>
        <v>67200</v>
      </c>
      <c r="BW62" s="194"/>
      <c r="BX62" s="214" t="n">
        <f aca="false">SUM(BV62:BW62)</f>
        <v>67200</v>
      </c>
      <c r="BZ62" s="156"/>
      <c r="CB62" s="158"/>
      <c r="CC62" s="158"/>
    </row>
    <row r="63" customFormat="false" ht="12.85" hidden="false" customHeight="false" outlineLevel="0" collapsed="false">
      <c r="A63" s="227"/>
      <c r="B63" s="228"/>
      <c r="C63" s="229"/>
      <c r="D63" s="229"/>
      <c r="E63" s="230"/>
      <c r="H63" s="227"/>
      <c r="I63" s="228"/>
      <c r="J63" s="229"/>
      <c r="K63" s="229"/>
      <c r="L63" s="230"/>
      <c r="N63" s="227"/>
      <c r="O63" s="228"/>
      <c r="P63" s="229"/>
      <c r="Q63" s="229"/>
      <c r="R63" s="231"/>
      <c r="T63" s="227" t="n">
        <v>609</v>
      </c>
      <c r="U63" s="232" t="s">
        <v>318</v>
      </c>
      <c r="V63" s="233" t="s">
        <v>98</v>
      </c>
      <c r="W63" s="229"/>
      <c r="X63" s="195"/>
      <c r="Y63" s="152" t="s">
        <v>319</v>
      </c>
      <c r="AA63" s="227" t="n">
        <v>609</v>
      </c>
      <c r="AB63" s="232"/>
      <c r="AC63" s="229"/>
      <c r="AD63" s="229"/>
      <c r="AE63" s="195"/>
      <c r="AH63" s="227" t="n">
        <v>609</v>
      </c>
      <c r="AI63" s="232"/>
      <c r="AJ63" s="229"/>
      <c r="AK63" s="229"/>
      <c r="AL63" s="195"/>
      <c r="AN63" s="156"/>
      <c r="AP63" s="158"/>
      <c r="AQ63" s="158"/>
      <c r="AT63" s="227" t="n">
        <v>609</v>
      </c>
      <c r="AU63" s="232"/>
      <c r="AV63" s="229"/>
      <c r="AW63" s="229"/>
      <c r="AX63" s="195"/>
      <c r="AZ63" s="156"/>
      <c r="BB63" s="158"/>
      <c r="BC63" s="158"/>
      <c r="BF63" s="227" t="n">
        <v>609</v>
      </c>
      <c r="BG63" s="232" t="s">
        <v>87</v>
      </c>
      <c r="BH63" s="229" t="n">
        <v>0</v>
      </c>
      <c r="BI63" s="229"/>
      <c r="BJ63" s="195"/>
      <c r="BL63" s="156"/>
      <c r="BN63" s="158"/>
      <c r="BO63" s="158"/>
      <c r="BT63" s="227" t="n">
        <v>609</v>
      </c>
      <c r="BU63" s="232" t="s">
        <v>87</v>
      </c>
      <c r="BV63" s="229" t="n">
        <v>0</v>
      </c>
      <c r="BW63" s="229"/>
      <c r="BX63" s="195"/>
      <c r="BZ63" s="156"/>
      <c r="CB63" s="158"/>
      <c r="CC63" s="158"/>
    </row>
    <row r="64" customFormat="false" ht="12.85" hidden="false" customHeight="false" outlineLevel="0" collapsed="false">
      <c r="A64" s="192"/>
      <c r="B64" s="196" t="s">
        <v>320</v>
      </c>
      <c r="C64" s="234"/>
      <c r="D64" s="234"/>
      <c r="E64" s="198" t="n">
        <f aca="false">SUM(C64:D64)</f>
        <v>0</v>
      </c>
      <c r="H64" s="192"/>
      <c r="I64" s="196"/>
      <c r="J64" s="234"/>
      <c r="K64" s="234"/>
      <c r="L64" s="198" t="n">
        <f aca="false">SUM(J64:K64)</f>
        <v>0</v>
      </c>
      <c r="N64" s="192"/>
      <c r="O64" s="196"/>
      <c r="P64" s="234"/>
      <c r="Q64" s="234"/>
      <c r="R64" s="199" t="n">
        <f aca="false">SUM(P64:Q64)</f>
        <v>0</v>
      </c>
      <c r="T64" s="192"/>
      <c r="U64" s="196"/>
      <c r="V64" s="234"/>
      <c r="W64" s="234"/>
      <c r="X64" s="215" t="n">
        <f aca="false">SUM(V64:W64)</f>
        <v>0</v>
      </c>
      <c r="AA64" s="227" t="n">
        <v>610</v>
      </c>
      <c r="AB64" s="232"/>
      <c r="AC64" s="233"/>
      <c r="AD64" s="229"/>
      <c r="AE64" s="195"/>
      <c r="AH64" s="227" t="n">
        <v>610</v>
      </c>
      <c r="AI64" s="232"/>
      <c r="AJ64" s="233"/>
      <c r="AK64" s="229"/>
      <c r="AL64" s="195"/>
      <c r="AN64" s="156"/>
      <c r="AP64" s="158"/>
      <c r="AQ64" s="158"/>
      <c r="AT64" s="227" t="n">
        <v>610</v>
      </c>
      <c r="AU64" s="232"/>
      <c r="AV64" s="233"/>
      <c r="AW64" s="229"/>
      <c r="AX64" s="195"/>
      <c r="AZ64" s="156"/>
      <c r="BB64" s="158"/>
      <c r="BC64" s="158"/>
      <c r="BF64" s="227" t="n">
        <v>610</v>
      </c>
      <c r="BG64" s="232"/>
      <c r="BH64" s="233"/>
      <c r="BI64" s="229"/>
      <c r="BJ64" s="195"/>
      <c r="BL64" s="156"/>
      <c r="BN64" s="158"/>
      <c r="BO64" s="158"/>
      <c r="BT64" s="227" t="n">
        <v>610</v>
      </c>
      <c r="BU64" s="232"/>
      <c r="BV64" s="233"/>
      <c r="BW64" s="229"/>
      <c r="BX64" s="195"/>
      <c r="BZ64" s="156"/>
      <c r="CB64" s="158"/>
      <c r="CC64" s="158"/>
    </row>
    <row r="65" customFormat="false" ht="12.85" hidden="false" customHeight="false" outlineLevel="0" collapsed="false">
      <c r="E65" s="216" t="n">
        <f aca="false">SUM(E55:E64)</f>
        <v>-18100</v>
      </c>
      <c r="F65" s="152" t="n">
        <v>-15000</v>
      </c>
      <c r="G65" s="152" t="n">
        <f aca="false">SUM(G55:G64)</f>
        <v>-16556</v>
      </c>
      <c r="L65" s="216" t="n">
        <f aca="false">SUM(L55:L64)</f>
        <v>-17000</v>
      </c>
      <c r="P65" s="152"/>
      <c r="Q65" s="152"/>
      <c r="R65" s="217" t="n">
        <f aca="false">SUM(R55:R64)</f>
        <v>-17000</v>
      </c>
      <c r="U65" s="203" t="s">
        <v>321</v>
      </c>
      <c r="V65" s="152"/>
      <c r="W65" s="152"/>
      <c r="X65" s="216" t="n">
        <f aca="false">SUM(X55:X64)</f>
        <v>-36640</v>
      </c>
      <c r="AA65" s="227" t="n">
        <v>611</v>
      </c>
      <c r="AB65" s="232"/>
      <c r="AC65" s="233"/>
      <c r="AD65" s="229"/>
      <c r="AE65" s="195"/>
      <c r="AH65" s="227" t="n">
        <v>611</v>
      </c>
      <c r="AI65" s="232"/>
      <c r="AJ65" s="233"/>
      <c r="AK65" s="229"/>
      <c r="AL65" s="195"/>
      <c r="AN65" s="156"/>
      <c r="AP65" s="158"/>
      <c r="AQ65" s="158"/>
      <c r="AT65" s="227" t="n">
        <v>611</v>
      </c>
      <c r="AU65" s="232"/>
      <c r="AV65" s="233"/>
      <c r="AW65" s="229"/>
      <c r="AX65" s="195"/>
      <c r="AZ65" s="156"/>
      <c r="BB65" s="158"/>
      <c r="BC65" s="158"/>
      <c r="BF65" s="227" t="n">
        <v>611</v>
      </c>
      <c r="BG65" s="232"/>
      <c r="BH65" s="233"/>
      <c r="BI65" s="229"/>
      <c r="BJ65" s="195"/>
      <c r="BL65" s="156"/>
      <c r="BN65" s="158"/>
      <c r="BO65" s="158"/>
      <c r="BT65" s="227" t="n">
        <v>611</v>
      </c>
      <c r="BU65" s="232"/>
      <c r="BV65" s="233"/>
      <c r="BW65" s="229"/>
      <c r="BX65" s="195"/>
      <c r="BZ65" s="156"/>
      <c r="CB65" s="158"/>
      <c r="CC65" s="158"/>
    </row>
    <row r="66" customFormat="false" ht="15" hidden="false" customHeight="true" outlineLevel="0" collapsed="false">
      <c r="U66" s="203" t="s">
        <v>322</v>
      </c>
      <c r="V66" s="152"/>
      <c r="W66" s="152"/>
      <c r="AA66" s="192"/>
      <c r="AB66" s="196"/>
      <c r="AC66" s="234"/>
      <c r="AD66" s="234"/>
      <c r="AE66" s="215"/>
      <c r="AH66" s="192"/>
      <c r="AI66" s="196"/>
      <c r="AJ66" s="234"/>
      <c r="AK66" s="234"/>
      <c r="AL66" s="215"/>
      <c r="AN66" s="156"/>
      <c r="AP66" s="157" t="s">
        <v>58</v>
      </c>
      <c r="AQ66" s="201" t="n">
        <f aca="false">(ABS(SUM(AK55:AK66))-AN54)/AQ54</f>
        <v>1429.75</v>
      </c>
      <c r="AT66" s="192"/>
      <c r="AU66" s="196"/>
      <c r="AV66" s="234"/>
      <c r="AW66" s="234"/>
      <c r="AX66" s="215"/>
      <c r="AZ66" s="156"/>
      <c r="BB66" s="157" t="s">
        <v>58</v>
      </c>
      <c r="BC66" s="201" t="n">
        <f aca="false">(ABS(SUM(AW55:AW66))-AZ54)/BC54</f>
        <v>1527.5</v>
      </c>
      <c r="BF66" s="192"/>
      <c r="BG66" s="196" t="s">
        <v>88</v>
      </c>
      <c r="BH66" s="234"/>
      <c r="BI66" s="234" t="n">
        <v>-2000</v>
      </c>
      <c r="BJ66" s="214" t="n">
        <f aca="false">SUM(BH66:BI66)</f>
        <v>-2000</v>
      </c>
      <c r="BL66" s="156"/>
      <c r="BN66" s="157" t="s">
        <v>58</v>
      </c>
      <c r="BO66" s="201" t="n">
        <f aca="false">(ABS(SUM(BI55:BI66))-BL54)/BO54</f>
        <v>1752.5</v>
      </c>
      <c r="BP66" s="151" t="n">
        <v>1750</v>
      </c>
      <c r="BT66" s="192"/>
      <c r="BU66" s="196" t="s">
        <v>88</v>
      </c>
      <c r="BV66" s="234"/>
      <c r="BW66" s="234" t="n">
        <v>-2000</v>
      </c>
      <c r="BX66" s="214" t="n">
        <f aca="false">SUM(BV66:BW66)</f>
        <v>-2000</v>
      </c>
      <c r="BZ66" s="156"/>
      <c r="CB66" s="157" t="s">
        <v>58</v>
      </c>
      <c r="CC66" s="201" t="n">
        <f aca="false">(ABS(SUM(BW55:BW66))-BZ54)/CC54</f>
        <v>2102.5</v>
      </c>
      <c r="CD66" s="151" t="n">
        <v>2100</v>
      </c>
      <c r="CF66" s="151" t="n">
        <f aca="false">BX67+BZ54</f>
        <v>-80</v>
      </c>
    </row>
    <row r="67" customFormat="false" ht="15" hidden="false" customHeight="true" outlineLevel="0" collapsed="false">
      <c r="U67" s="203"/>
      <c r="V67" s="152"/>
      <c r="W67" s="152"/>
      <c r="AB67" s="203" t="s">
        <v>89</v>
      </c>
      <c r="AC67" s="152"/>
      <c r="AD67" s="152"/>
      <c r="AE67" s="216" t="n">
        <f aca="false">SUM(AE55:AE66)</f>
        <v>-13080</v>
      </c>
      <c r="AI67" s="203" t="s">
        <v>89</v>
      </c>
      <c r="AJ67" s="152"/>
      <c r="AK67" s="152"/>
      <c r="AL67" s="216" t="n">
        <f aca="false">SUM(AL55:AL66)</f>
        <v>-18000</v>
      </c>
      <c r="AN67" s="156"/>
      <c r="AP67" s="157" t="s">
        <v>77</v>
      </c>
      <c r="AQ67" s="158"/>
      <c r="AU67" s="203" t="s">
        <v>89</v>
      </c>
      <c r="AV67" s="152"/>
      <c r="AW67" s="152"/>
      <c r="AX67" s="216" t="n">
        <f aca="false">SUM(AX55:AX66)</f>
        <v>-15000</v>
      </c>
      <c r="AZ67" s="156"/>
      <c r="BB67" s="157" t="s">
        <v>77</v>
      </c>
      <c r="BC67" s="158"/>
      <c r="BG67" s="203" t="s">
        <v>89</v>
      </c>
      <c r="BH67" s="152" t="n">
        <f aca="false">SUM(BH55:BH66)</f>
        <v>56000</v>
      </c>
      <c r="BI67" s="152" t="n">
        <f aca="false">SUM(BI55:BI66)</f>
        <v>-75080</v>
      </c>
      <c r="BJ67" s="216" t="n">
        <f aca="false">SUM(BJ55:BJ66)</f>
        <v>-19080</v>
      </c>
      <c r="BL67" s="156"/>
      <c r="BN67" s="157" t="s">
        <v>77</v>
      </c>
      <c r="BO67" s="158"/>
      <c r="BU67" s="203" t="s">
        <v>89</v>
      </c>
      <c r="BV67" s="152" t="n">
        <f aca="false">SUM(BV55:BV66)</f>
        <v>67200</v>
      </c>
      <c r="BW67" s="152" t="n">
        <f aca="false">SUM(BW55:BW66)</f>
        <v>-107280</v>
      </c>
      <c r="BX67" s="216" t="n">
        <f aca="false">SUM(BX55:BX66)</f>
        <v>-40080</v>
      </c>
      <c r="BZ67" s="156"/>
      <c r="CB67" s="157" t="s">
        <v>77</v>
      </c>
      <c r="CC67" s="158"/>
    </row>
    <row r="68" customFormat="false" ht="15" hidden="false" customHeight="true" outlineLevel="0" collapsed="false">
      <c r="U68" s="203"/>
      <c r="V68" s="152"/>
      <c r="W68" s="152"/>
      <c r="AB68" s="203"/>
      <c r="AC68" s="152"/>
      <c r="AD68" s="152"/>
      <c r="AI68" s="203"/>
      <c r="AJ68" s="152"/>
      <c r="AK68" s="152"/>
      <c r="AN68" s="156"/>
      <c r="AP68" s="158"/>
      <c r="AQ68" s="158"/>
      <c r="AU68" s="203"/>
      <c r="AV68" s="152"/>
      <c r="AW68" s="152"/>
      <c r="AZ68" s="156"/>
      <c r="BB68" s="158"/>
      <c r="BC68" s="158"/>
      <c r="BG68" s="203"/>
      <c r="BH68" s="152"/>
      <c r="BI68" s="152"/>
      <c r="BL68" s="156"/>
      <c r="BN68" s="158"/>
      <c r="BO68" s="158"/>
      <c r="BU68" s="203"/>
      <c r="BV68" s="152"/>
      <c r="BW68" s="152"/>
      <c r="BZ68" s="156"/>
      <c r="CB68" s="158"/>
      <c r="CC68" s="158"/>
    </row>
    <row r="69" customFormat="false" ht="19.4" hidden="false" customHeight="false" outlineLevel="0" collapsed="false">
      <c r="B69" s="160" t="s">
        <v>323</v>
      </c>
      <c r="I69" s="160" t="s">
        <v>323</v>
      </c>
      <c r="O69" s="160" t="s">
        <v>323</v>
      </c>
      <c r="P69" s="152"/>
      <c r="Q69" s="152"/>
      <c r="U69" s="160" t="s">
        <v>324</v>
      </c>
      <c r="V69" s="152"/>
      <c r="W69" s="152"/>
      <c r="AC69" s="152"/>
      <c r="AD69" s="152"/>
      <c r="AJ69" s="152"/>
      <c r="AK69" s="152"/>
      <c r="AN69" s="156"/>
      <c r="AP69" s="158"/>
      <c r="AQ69" s="158"/>
      <c r="AV69" s="152"/>
      <c r="AW69" s="152"/>
      <c r="AZ69" s="156"/>
      <c r="BB69" s="158"/>
      <c r="BC69" s="158"/>
      <c r="BH69" s="152"/>
      <c r="BI69" s="152"/>
      <c r="BL69" s="156"/>
      <c r="BN69" s="158"/>
      <c r="BO69" s="158"/>
      <c r="BV69" s="152"/>
      <c r="BW69" s="152"/>
      <c r="BZ69" s="156"/>
      <c r="CB69" s="158"/>
      <c r="CC69" s="158"/>
    </row>
    <row r="70" customFormat="false" ht="12.85" hidden="false" customHeight="false" outlineLevel="0" collapsed="false">
      <c r="P70" s="152"/>
      <c r="Q70" s="152"/>
      <c r="V70" s="152"/>
      <c r="W70" s="152"/>
      <c r="AB70" s="203"/>
      <c r="AC70" s="152"/>
      <c r="AD70" s="152"/>
      <c r="AI70" s="203"/>
      <c r="AJ70" s="152"/>
      <c r="AK70" s="152"/>
      <c r="AN70" s="156"/>
      <c r="AP70" s="158"/>
      <c r="AQ70" s="158"/>
      <c r="AU70" s="203"/>
      <c r="AV70" s="152"/>
      <c r="AW70" s="152"/>
      <c r="AZ70" s="156"/>
      <c r="BB70" s="158"/>
      <c r="BC70" s="158"/>
      <c r="BG70" s="203"/>
      <c r="BH70" s="152"/>
      <c r="BI70" s="152"/>
      <c r="BL70" s="156"/>
      <c r="BN70" s="158"/>
      <c r="BO70" s="158"/>
      <c r="BU70" s="203"/>
      <c r="BV70" s="152"/>
      <c r="BW70" s="152"/>
      <c r="BZ70" s="156"/>
      <c r="CB70" s="158"/>
      <c r="CC70" s="158"/>
    </row>
    <row r="71" customFormat="false" ht="19.4" hidden="false" customHeight="false" outlineLevel="0" collapsed="false">
      <c r="A71" s="161" t="s">
        <v>45</v>
      </c>
      <c r="B71" s="162" t="s">
        <v>46</v>
      </c>
      <c r="C71" s="163" t="s">
        <v>47</v>
      </c>
      <c r="D71" s="163" t="s">
        <v>48</v>
      </c>
      <c r="E71" s="164" t="s">
        <v>4</v>
      </c>
      <c r="H71" s="161" t="s">
        <v>45</v>
      </c>
      <c r="I71" s="162" t="s">
        <v>46</v>
      </c>
      <c r="J71" s="163" t="s">
        <v>47</v>
      </c>
      <c r="K71" s="163" t="s">
        <v>48</v>
      </c>
      <c r="L71" s="164" t="s">
        <v>4</v>
      </c>
      <c r="N71" s="161" t="s">
        <v>45</v>
      </c>
      <c r="O71" s="162" t="s">
        <v>46</v>
      </c>
      <c r="P71" s="163" t="s">
        <v>47</v>
      </c>
      <c r="Q71" s="163" t="s">
        <v>48</v>
      </c>
      <c r="R71" s="165" t="s">
        <v>4</v>
      </c>
      <c r="T71" s="161" t="s">
        <v>45</v>
      </c>
      <c r="U71" s="162" t="s">
        <v>46</v>
      </c>
      <c r="V71" s="163" t="s">
        <v>47</v>
      </c>
      <c r="W71" s="163" t="s">
        <v>48</v>
      </c>
      <c r="X71" s="164" t="s">
        <v>4</v>
      </c>
      <c r="AB71" s="160" t="s">
        <v>325</v>
      </c>
      <c r="AC71" s="152"/>
      <c r="AD71" s="152"/>
      <c r="AI71" s="160" t="s">
        <v>326</v>
      </c>
      <c r="AJ71" s="152"/>
      <c r="AK71" s="152"/>
      <c r="AN71" s="156"/>
      <c r="AP71" s="158"/>
      <c r="AQ71" s="158"/>
      <c r="AU71" s="160" t="s">
        <v>327</v>
      </c>
      <c r="AV71" s="152"/>
      <c r="AW71" s="152"/>
      <c r="AZ71" s="156"/>
      <c r="BB71" s="158"/>
      <c r="BC71" s="158"/>
      <c r="BG71" s="160" t="s">
        <v>328</v>
      </c>
      <c r="BH71" s="152"/>
      <c r="BI71" s="152"/>
      <c r="BL71" s="156"/>
      <c r="BN71" s="158"/>
      <c r="BO71" s="158"/>
      <c r="BU71" s="160" t="s">
        <v>329</v>
      </c>
      <c r="BV71" s="152"/>
      <c r="BW71" s="152"/>
      <c r="BZ71" s="156"/>
      <c r="CB71" s="158"/>
      <c r="CC71" s="158"/>
    </row>
    <row r="72" customFormat="false" ht="14.9" hidden="false" customHeight="false" outlineLevel="0" collapsed="false">
      <c r="A72" s="167"/>
      <c r="B72" s="168" t="s">
        <v>330</v>
      </c>
      <c r="C72" s="219"/>
      <c r="D72" s="219" t="n">
        <v>-4000</v>
      </c>
      <c r="E72" s="171" t="n">
        <f aca="false">SUM(C72:D72)</f>
        <v>-4000</v>
      </c>
      <c r="G72" s="237"/>
      <c r="H72" s="167"/>
      <c r="I72" s="168" t="s">
        <v>330</v>
      </c>
      <c r="J72" s="219"/>
      <c r="K72" s="219" t="n">
        <v>-4000</v>
      </c>
      <c r="L72" s="171" t="n">
        <f aca="false">SUM(J72:K72)</f>
        <v>-4000</v>
      </c>
      <c r="N72" s="167" t="n">
        <v>701</v>
      </c>
      <c r="O72" s="168" t="s">
        <v>331</v>
      </c>
      <c r="P72" s="219"/>
      <c r="Q72" s="238" t="n">
        <v>-1700</v>
      </c>
      <c r="R72" s="174" t="n">
        <f aca="false">SUM(P72:Q72)</f>
        <v>-1700</v>
      </c>
      <c r="T72" s="167" t="n">
        <v>701</v>
      </c>
      <c r="U72" s="168" t="s">
        <v>332</v>
      </c>
      <c r="V72" s="219"/>
      <c r="W72" s="219" t="n">
        <f aca="false">-1200*2</f>
        <v>-2400</v>
      </c>
      <c r="X72" s="211" t="n">
        <f aca="false">SUM(V72:W72)</f>
        <v>-2400</v>
      </c>
      <c r="AC72" s="152"/>
      <c r="AD72" s="152"/>
      <c r="AJ72" s="152"/>
      <c r="AK72" s="152"/>
      <c r="AN72" s="156"/>
      <c r="AP72" s="158"/>
      <c r="AQ72" s="158"/>
      <c r="AV72" s="152"/>
      <c r="AW72" s="152"/>
      <c r="AZ72" s="156"/>
      <c r="BB72" s="158"/>
      <c r="BC72" s="158"/>
      <c r="BH72" s="152"/>
      <c r="BI72" s="152"/>
      <c r="BL72" s="156"/>
      <c r="BN72" s="158"/>
      <c r="BO72" s="158"/>
      <c r="BV72" s="152"/>
      <c r="BW72" s="152"/>
      <c r="BZ72" s="156"/>
      <c r="CB72" s="158"/>
      <c r="CC72" s="158"/>
    </row>
    <row r="73" customFormat="false" ht="17.65" hidden="false" customHeight="false" outlineLevel="0" collapsed="false">
      <c r="A73" s="227"/>
      <c r="B73" s="228"/>
      <c r="C73" s="229"/>
      <c r="D73" s="229"/>
      <c r="E73" s="230"/>
      <c r="H73" s="227"/>
      <c r="I73" s="228"/>
      <c r="J73" s="229"/>
      <c r="K73" s="229"/>
      <c r="L73" s="230"/>
      <c r="N73" s="227"/>
      <c r="O73" s="228"/>
      <c r="P73" s="229"/>
      <c r="Q73" s="229"/>
      <c r="R73" s="231"/>
      <c r="T73" s="227"/>
      <c r="U73" s="228"/>
      <c r="V73" s="229"/>
      <c r="W73" s="229"/>
      <c r="X73" s="195"/>
      <c r="AA73" s="161" t="s">
        <v>45</v>
      </c>
      <c r="AB73" s="162" t="s">
        <v>46</v>
      </c>
      <c r="AC73" s="163" t="s">
        <v>47</v>
      </c>
      <c r="AD73" s="163" t="s">
        <v>48</v>
      </c>
      <c r="AE73" s="164" t="s">
        <v>4</v>
      </c>
      <c r="AH73" s="161" t="s">
        <v>45</v>
      </c>
      <c r="AI73" s="162" t="s">
        <v>46</v>
      </c>
      <c r="AJ73" s="163" t="s">
        <v>47</v>
      </c>
      <c r="AK73" s="163" t="s">
        <v>48</v>
      </c>
      <c r="AL73" s="164" t="s">
        <v>4</v>
      </c>
      <c r="AN73" s="156"/>
      <c r="AP73" s="158"/>
      <c r="AQ73" s="158"/>
      <c r="AT73" s="161" t="s">
        <v>45</v>
      </c>
      <c r="AU73" s="162" t="s">
        <v>46</v>
      </c>
      <c r="AV73" s="163" t="s">
        <v>47</v>
      </c>
      <c r="AW73" s="163" t="s">
        <v>48</v>
      </c>
      <c r="AX73" s="164" t="s">
        <v>4</v>
      </c>
      <c r="AZ73" s="156"/>
      <c r="BB73" s="158"/>
      <c r="BC73" s="158"/>
      <c r="BF73" s="161" t="s">
        <v>45</v>
      </c>
      <c r="BG73" s="162" t="s">
        <v>46</v>
      </c>
      <c r="BH73" s="163" t="s">
        <v>47</v>
      </c>
      <c r="BI73" s="163" t="s">
        <v>48</v>
      </c>
      <c r="BJ73" s="164" t="s">
        <v>4</v>
      </c>
      <c r="BL73" s="156"/>
      <c r="BM73" s="151" t="n">
        <v>4800</v>
      </c>
      <c r="BN73" s="158"/>
      <c r="BO73" s="158" t="n">
        <v>53</v>
      </c>
      <c r="BT73" s="161" t="s">
        <v>45</v>
      </c>
      <c r="BU73" s="162" t="s">
        <v>46</v>
      </c>
      <c r="BV73" s="163" t="s">
        <v>47</v>
      </c>
      <c r="BW73" s="163" t="s">
        <v>48</v>
      </c>
      <c r="BX73" s="164" t="s">
        <v>4</v>
      </c>
      <c r="BZ73" s="156" t="n">
        <v>0</v>
      </c>
      <c r="CA73" s="151" t="n">
        <v>4800</v>
      </c>
      <c r="CB73" s="158"/>
      <c r="CC73" s="158" t="n">
        <v>53</v>
      </c>
    </row>
    <row r="74" customFormat="false" ht="12.85" hidden="false" customHeight="false" outlineLevel="0" collapsed="false">
      <c r="A74" s="192"/>
      <c r="B74" s="196" t="s">
        <v>333</v>
      </c>
      <c r="C74" s="234"/>
      <c r="D74" s="234"/>
      <c r="E74" s="198" t="n">
        <f aca="false">SUM(C74:D74)</f>
        <v>0</v>
      </c>
      <c r="H74" s="192"/>
      <c r="I74" s="196" t="s">
        <v>333</v>
      </c>
      <c r="J74" s="234"/>
      <c r="K74" s="234"/>
      <c r="L74" s="198" t="n">
        <f aca="false">SUM(J74:K74)</f>
        <v>0</v>
      </c>
      <c r="N74" s="192"/>
      <c r="O74" s="196" t="s">
        <v>333</v>
      </c>
      <c r="P74" s="234"/>
      <c r="Q74" s="234"/>
      <c r="R74" s="199" t="n">
        <f aca="false">SUM(P74:Q74)</f>
        <v>0</v>
      </c>
      <c r="T74" s="192"/>
      <c r="U74" s="196" t="s">
        <v>333</v>
      </c>
      <c r="V74" s="234"/>
      <c r="W74" s="234"/>
      <c r="X74" s="215" t="n">
        <f aca="false">SUM(V74:W74)</f>
        <v>0</v>
      </c>
      <c r="AA74" s="167" t="n">
        <v>701</v>
      </c>
      <c r="AB74" s="168" t="s">
        <v>334</v>
      </c>
      <c r="AC74" s="219"/>
      <c r="AD74" s="219" t="n">
        <f aca="false">-1200*4</f>
        <v>-4800</v>
      </c>
      <c r="AE74" s="211" t="n">
        <f aca="false">SUM(AC74:AD74)</f>
        <v>-4800</v>
      </c>
      <c r="AH74" s="167" t="n">
        <v>701</v>
      </c>
      <c r="AI74" s="168" t="s">
        <v>334</v>
      </c>
      <c r="AJ74" s="219"/>
      <c r="AK74" s="219" t="n">
        <f aca="false">-1200*4</f>
        <v>-4800</v>
      </c>
      <c r="AL74" s="211" t="n">
        <f aca="false">SUM(AJ74:AK74)</f>
        <v>-4800</v>
      </c>
      <c r="AN74" s="156"/>
      <c r="AP74" s="158"/>
      <c r="AQ74" s="158"/>
      <c r="AT74" s="167" t="n">
        <v>701</v>
      </c>
      <c r="AU74" s="168" t="s">
        <v>334</v>
      </c>
      <c r="AV74" s="219"/>
      <c r="AW74" s="219" t="n">
        <f aca="false">-1200*4</f>
        <v>-4800</v>
      </c>
      <c r="AX74" s="211" t="n">
        <f aca="false">SUM(AV74:AW74)</f>
        <v>-4800</v>
      </c>
      <c r="AZ74" s="156"/>
      <c r="BB74" s="158"/>
      <c r="BC74" s="158"/>
      <c r="BF74" s="167" t="n">
        <v>701</v>
      </c>
      <c r="BG74" s="168" t="s">
        <v>91</v>
      </c>
      <c r="BH74" s="219"/>
      <c r="BI74" s="219" t="n">
        <v>0</v>
      </c>
      <c r="BJ74" s="211" t="n">
        <f aca="false">SUM(BH74:BI74)</f>
        <v>0</v>
      </c>
      <c r="BL74" s="156"/>
      <c r="BN74" s="158"/>
      <c r="BO74" s="158"/>
      <c r="BT74" s="167" t="n">
        <v>701</v>
      </c>
      <c r="BU74" s="168" t="s">
        <v>91</v>
      </c>
      <c r="BV74" s="219"/>
      <c r="BW74" s="219" t="n">
        <v>0</v>
      </c>
      <c r="BX74" s="211" t="n">
        <f aca="false">SUM(BV74:BW74)</f>
        <v>0</v>
      </c>
      <c r="BZ74" s="156"/>
      <c r="CB74" s="158"/>
      <c r="CC74" s="158"/>
    </row>
    <row r="75" customFormat="false" ht="12.85" hidden="false" customHeight="false" outlineLevel="0" collapsed="false">
      <c r="A75" s="239"/>
      <c r="B75" s="159"/>
      <c r="C75" s="240"/>
      <c r="D75" s="240"/>
      <c r="E75" s="241"/>
      <c r="H75" s="239"/>
      <c r="I75" s="159"/>
      <c r="J75" s="240"/>
      <c r="K75" s="240"/>
      <c r="L75" s="241"/>
      <c r="N75" s="239"/>
      <c r="O75" s="159"/>
      <c r="P75" s="240"/>
      <c r="Q75" s="240"/>
      <c r="R75" s="242"/>
      <c r="T75" s="239"/>
      <c r="U75" s="159"/>
      <c r="V75" s="240"/>
      <c r="W75" s="240"/>
      <c r="X75" s="243"/>
      <c r="AA75" s="244"/>
      <c r="AB75" s="245"/>
      <c r="AC75" s="246"/>
      <c r="AD75" s="246"/>
      <c r="AE75" s="247"/>
      <c r="AH75" s="244"/>
      <c r="AI75" s="245"/>
      <c r="AJ75" s="246"/>
      <c r="AK75" s="246"/>
      <c r="AL75" s="247"/>
      <c r="AN75" s="156"/>
      <c r="AP75" s="158"/>
      <c r="AQ75" s="158"/>
      <c r="AT75" s="244"/>
      <c r="AU75" s="245"/>
      <c r="AV75" s="246"/>
      <c r="AW75" s="246"/>
      <c r="AX75" s="247"/>
      <c r="AZ75" s="156"/>
      <c r="BB75" s="158"/>
      <c r="BC75" s="158"/>
      <c r="BF75" s="244"/>
      <c r="BG75" s="245" t="s">
        <v>92</v>
      </c>
      <c r="BH75" s="246"/>
      <c r="BI75" s="246" t="n">
        <v>-28100</v>
      </c>
      <c r="BJ75" s="211" t="n">
        <f aca="false">SUM(BH75:BI75)</f>
        <v>-28100</v>
      </c>
      <c r="BL75" s="156"/>
      <c r="BN75" s="158"/>
      <c r="BO75" s="158"/>
      <c r="BT75" s="244"/>
      <c r="BU75" s="245" t="s">
        <v>92</v>
      </c>
      <c r="BV75" s="246"/>
      <c r="BW75" s="246" t="n">
        <v>-28100</v>
      </c>
      <c r="BX75" s="211" t="n">
        <f aca="false">SUM(BV75:BW75)</f>
        <v>-28100</v>
      </c>
      <c r="BZ75" s="156"/>
      <c r="CB75" s="158"/>
      <c r="CC75" s="158"/>
    </row>
    <row r="76" customFormat="false" ht="12.85" hidden="false" customHeight="false" outlineLevel="0" collapsed="false">
      <c r="E76" s="216" t="n">
        <f aca="false">SUM(E72:E74)</f>
        <v>-4000</v>
      </c>
      <c r="F76" s="152" t="n">
        <v>-4000</v>
      </c>
      <c r="L76" s="216" t="n">
        <f aca="false">SUM(L72:L74)</f>
        <v>-4000</v>
      </c>
      <c r="O76" s="151" t="s">
        <v>335</v>
      </c>
      <c r="P76" s="152"/>
      <c r="Q76" s="152"/>
      <c r="R76" s="217" t="n">
        <f aca="false">SUM(R72:R74)</f>
        <v>-1700</v>
      </c>
      <c r="V76" s="152"/>
      <c r="W76" s="152"/>
      <c r="X76" s="216" t="n">
        <f aca="false">SUM(X72:X74)</f>
        <v>-2400</v>
      </c>
      <c r="AA76" s="227"/>
      <c r="AB76" s="228"/>
      <c r="AC76" s="229"/>
      <c r="AD76" s="229"/>
      <c r="AE76" s="195"/>
      <c r="AH76" s="227"/>
      <c r="AI76" s="228"/>
      <c r="AJ76" s="229"/>
      <c r="AK76" s="229"/>
      <c r="AL76" s="195"/>
      <c r="AN76" s="156"/>
      <c r="AP76" s="158"/>
      <c r="AQ76" s="158"/>
      <c r="AT76" s="227"/>
      <c r="AU76" s="228"/>
      <c r="AV76" s="229"/>
      <c r="AW76" s="229"/>
      <c r="AX76" s="195"/>
      <c r="AZ76" s="156"/>
      <c r="BB76" s="158"/>
      <c r="BC76" s="158"/>
      <c r="BF76" s="227"/>
      <c r="BG76" s="232" t="s">
        <v>93</v>
      </c>
      <c r="BH76" s="229"/>
      <c r="BI76" s="229" t="n">
        <v>-51700</v>
      </c>
      <c r="BJ76" s="211" t="n">
        <f aca="false">SUM(BH76:BI76)</f>
        <v>-51700</v>
      </c>
      <c r="BL76" s="156"/>
      <c r="BN76" s="158"/>
      <c r="BO76" s="158"/>
      <c r="BT76" s="227"/>
      <c r="BU76" s="232" t="s">
        <v>93</v>
      </c>
      <c r="BV76" s="229"/>
      <c r="BW76" s="229" t="n">
        <v>-51700</v>
      </c>
      <c r="BX76" s="211" t="n">
        <f aca="false">SUM(BV76:BW76)</f>
        <v>-51700</v>
      </c>
      <c r="BZ76" s="156"/>
      <c r="CB76" s="158"/>
      <c r="CC76" s="158"/>
    </row>
    <row r="77" customFormat="false" ht="12.85" hidden="false" customHeight="false" outlineLevel="0" collapsed="false">
      <c r="E77" s="159"/>
      <c r="L77" s="159"/>
      <c r="P77" s="152"/>
      <c r="Q77" s="152"/>
      <c r="R77" s="218"/>
      <c r="V77" s="152"/>
      <c r="W77" s="152"/>
      <c r="X77" s="159"/>
      <c r="AA77" s="192"/>
      <c r="AB77" s="196" t="s">
        <v>333</v>
      </c>
      <c r="AC77" s="234" t="n">
        <v>4800</v>
      </c>
      <c r="AD77" s="234"/>
      <c r="AE77" s="215" t="n">
        <f aca="false">SUM(AC77:AD77)</f>
        <v>4800</v>
      </c>
      <c r="AH77" s="192"/>
      <c r="AI77" s="196" t="s">
        <v>333</v>
      </c>
      <c r="AJ77" s="234" t="n">
        <v>4800</v>
      </c>
      <c r="AK77" s="234"/>
      <c r="AL77" s="215" t="n">
        <f aca="false">SUM(AJ77:AK77)</f>
        <v>4800</v>
      </c>
      <c r="AN77" s="156"/>
      <c r="AP77" s="158"/>
      <c r="AQ77" s="158"/>
      <c r="AT77" s="192"/>
      <c r="AU77" s="196" t="s">
        <v>333</v>
      </c>
      <c r="AV77" s="234" t="n">
        <v>4800</v>
      </c>
      <c r="AW77" s="234"/>
      <c r="AX77" s="215" t="n">
        <f aca="false">SUM(AV77:AW77)</f>
        <v>4800</v>
      </c>
      <c r="AZ77" s="156"/>
      <c r="BB77" s="158"/>
      <c r="BC77" s="158"/>
      <c r="BF77" s="192"/>
      <c r="BG77" s="202" t="s">
        <v>94</v>
      </c>
      <c r="BH77" s="234" t="n">
        <f aca="false">-SUM(BI74:BI77)</f>
        <v>79800</v>
      </c>
      <c r="BI77" s="234"/>
      <c r="BJ77" s="211" t="n">
        <f aca="false">SUM(BH77:BI77)</f>
        <v>79800</v>
      </c>
      <c r="BL77" s="156"/>
      <c r="BN77" s="158"/>
      <c r="BO77" s="158"/>
      <c r="BT77" s="192"/>
      <c r="BU77" s="202" t="s">
        <v>94</v>
      </c>
      <c r="BV77" s="234" t="n">
        <f aca="false">-SUM(BW74:BW77)</f>
        <v>79800</v>
      </c>
      <c r="BW77" s="234"/>
      <c r="BX77" s="211" t="n">
        <f aca="false">SUM(BV77:BW77)</f>
        <v>79800</v>
      </c>
      <c r="BZ77" s="156"/>
      <c r="CB77" s="158"/>
      <c r="CC77" s="158"/>
    </row>
    <row r="78" customFormat="false" ht="12.85" hidden="false" customHeight="false" outlineLevel="0" collapsed="false">
      <c r="V78" s="152"/>
      <c r="W78" s="152"/>
      <c r="AC78" s="152"/>
      <c r="AD78" s="152"/>
      <c r="AE78" s="216" t="n">
        <f aca="false">SUM(AE74:AE77)</f>
        <v>0</v>
      </c>
      <c r="AJ78" s="152"/>
      <c r="AK78" s="152"/>
      <c r="AL78" s="216" t="n">
        <f aca="false">SUM(AL74:AL77)</f>
        <v>0</v>
      </c>
      <c r="AN78" s="156"/>
      <c r="AP78" s="158"/>
      <c r="AQ78" s="158"/>
      <c r="AV78" s="152"/>
      <c r="AW78" s="152"/>
      <c r="AX78" s="216" t="n">
        <f aca="false">SUM(AX74:AX77)</f>
        <v>0</v>
      </c>
      <c r="AZ78" s="156"/>
      <c r="BB78" s="158"/>
      <c r="BC78" s="158"/>
      <c r="BH78" s="152" t="n">
        <f aca="false">SUM(BH74:BH77)</f>
        <v>79800</v>
      </c>
      <c r="BI78" s="152"/>
      <c r="BJ78" s="216" t="n">
        <f aca="false">SUM(BJ74:BJ77)</f>
        <v>0</v>
      </c>
      <c r="BL78" s="156"/>
      <c r="BN78" s="158"/>
      <c r="BO78" s="158"/>
      <c r="BV78" s="152" t="n">
        <f aca="false">SUM(BV74:BV77)</f>
        <v>79800</v>
      </c>
      <c r="BW78" s="152"/>
      <c r="BX78" s="216" t="n">
        <f aca="false">SUM(BX74:BX77)</f>
        <v>0</v>
      </c>
      <c r="BZ78" s="156"/>
      <c r="CB78" s="158"/>
      <c r="CC78" s="158"/>
    </row>
    <row r="79" customFormat="false" ht="19.4" hidden="false" customHeight="false" outlineLevel="0" collapsed="false">
      <c r="B79" s="160" t="s">
        <v>336</v>
      </c>
      <c r="I79" s="160" t="s">
        <v>336</v>
      </c>
      <c r="O79" s="160" t="s">
        <v>336</v>
      </c>
      <c r="P79" s="152"/>
      <c r="Q79" s="152"/>
      <c r="U79" s="160" t="s">
        <v>336</v>
      </c>
      <c r="V79" s="152"/>
      <c r="W79" s="152"/>
      <c r="AC79" s="152"/>
      <c r="AD79" s="152"/>
      <c r="AE79" s="159"/>
      <c r="AJ79" s="152"/>
      <c r="AK79" s="152"/>
      <c r="AL79" s="159"/>
      <c r="AN79" s="156"/>
      <c r="AP79" s="158"/>
      <c r="AQ79" s="158"/>
      <c r="AV79" s="152"/>
      <c r="AW79" s="152"/>
      <c r="AX79" s="159"/>
      <c r="AZ79" s="156"/>
      <c r="BB79" s="158"/>
      <c r="BC79" s="158"/>
      <c r="BH79" s="152"/>
      <c r="BI79" s="152"/>
      <c r="BJ79" s="159"/>
      <c r="BL79" s="156"/>
      <c r="BN79" s="158"/>
      <c r="BO79" s="158"/>
      <c r="BV79" s="152"/>
      <c r="BW79" s="152"/>
      <c r="BX79" s="159"/>
      <c r="BZ79" s="156"/>
      <c r="CB79" s="158"/>
      <c r="CC79" s="158"/>
    </row>
    <row r="80" customFormat="false" ht="12.85" hidden="false" customHeight="false" outlineLevel="0" collapsed="false">
      <c r="P80" s="152"/>
      <c r="Q80" s="152"/>
      <c r="V80" s="152"/>
      <c r="W80" s="152"/>
      <c r="AC80" s="152"/>
      <c r="AD80" s="152"/>
      <c r="AJ80" s="152"/>
      <c r="AK80" s="152"/>
      <c r="AN80" s="156"/>
      <c r="AP80" s="158"/>
      <c r="AQ80" s="158"/>
      <c r="AV80" s="152"/>
      <c r="AW80" s="152"/>
      <c r="AZ80" s="156"/>
      <c r="BB80" s="158"/>
      <c r="BC80" s="158"/>
      <c r="BH80" s="152"/>
      <c r="BI80" s="152"/>
      <c r="BL80" s="156"/>
      <c r="BN80" s="158"/>
      <c r="BO80" s="158"/>
      <c r="BV80" s="152"/>
      <c r="BW80" s="152"/>
      <c r="BZ80" s="156"/>
      <c r="CB80" s="158"/>
      <c r="CC80" s="158"/>
    </row>
    <row r="81" customFormat="false" ht="19.4" hidden="false" customHeight="false" outlineLevel="0" collapsed="false">
      <c r="A81" s="161" t="s">
        <v>45</v>
      </c>
      <c r="B81" s="162" t="s">
        <v>46</v>
      </c>
      <c r="C81" s="163" t="s">
        <v>47</v>
      </c>
      <c r="D81" s="163" t="s">
        <v>48</v>
      </c>
      <c r="E81" s="164" t="s">
        <v>4</v>
      </c>
      <c r="G81" s="152" t="s">
        <v>337</v>
      </c>
      <c r="H81" s="161" t="s">
        <v>45</v>
      </c>
      <c r="I81" s="162" t="s">
        <v>46</v>
      </c>
      <c r="J81" s="163" t="s">
        <v>47</v>
      </c>
      <c r="K81" s="163" t="s">
        <v>48</v>
      </c>
      <c r="L81" s="164" t="s">
        <v>4</v>
      </c>
      <c r="N81" s="161" t="s">
        <v>45</v>
      </c>
      <c r="O81" s="162" t="s">
        <v>46</v>
      </c>
      <c r="P81" s="163" t="s">
        <v>47</v>
      </c>
      <c r="Q81" s="163" t="s">
        <v>48</v>
      </c>
      <c r="R81" s="165" t="s">
        <v>4</v>
      </c>
      <c r="T81" s="161" t="s">
        <v>45</v>
      </c>
      <c r="U81" s="162" t="s">
        <v>46</v>
      </c>
      <c r="V81" s="163" t="s">
        <v>47</v>
      </c>
      <c r="W81" s="163" t="s">
        <v>48</v>
      </c>
      <c r="X81" s="164" t="s">
        <v>4</v>
      </c>
      <c r="AB81" s="160" t="s">
        <v>336</v>
      </c>
      <c r="AC81" s="152"/>
      <c r="AD81" s="152"/>
      <c r="AI81" s="160" t="s">
        <v>336</v>
      </c>
      <c r="AJ81" s="152"/>
      <c r="AK81" s="152"/>
      <c r="AN81" s="156"/>
      <c r="AP81" s="158"/>
      <c r="AQ81" s="158"/>
      <c r="AU81" s="160" t="s">
        <v>336</v>
      </c>
      <c r="AV81" s="152"/>
      <c r="AW81" s="152"/>
      <c r="AZ81" s="156"/>
      <c r="BB81" s="158"/>
      <c r="BC81" s="158"/>
      <c r="BG81" s="160" t="s">
        <v>336</v>
      </c>
      <c r="BH81" s="152"/>
      <c r="BI81" s="152"/>
      <c r="BL81" s="156"/>
      <c r="BN81" s="158"/>
      <c r="BO81" s="158"/>
      <c r="BU81" s="160" t="s">
        <v>336</v>
      </c>
      <c r="BV81" s="152"/>
      <c r="BW81" s="152"/>
      <c r="BZ81" s="156"/>
      <c r="CB81" s="158"/>
      <c r="CC81" s="158"/>
    </row>
    <row r="82" customFormat="false" ht="12.85" hidden="false" customHeight="false" outlineLevel="0" collapsed="false">
      <c r="A82" s="167"/>
      <c r="B82" s="168" t="s">
        <v>338</v>
      </c>
      <c r="C82" s="219"/>
      <c r="D82" s="219" t="n">
        <v>-20000</v>
      </c>
      <c r="E82" s="171" t="n">
        <f aca="false">SUM(C82:D82)</f>
        <v>-20000</v>
      </c>
      <c r="G82" s="152" t="n">
        <v>-33531</v>
      </c>
      <c r="H82" s="167"/>
      <c r="I82" s="168" t="s">
        <v>338</v>
      </c>
      <c r="J82" s="219"/>
      <c r="K82" s="219" t="n">
        <v>-20000</v>
      </c>
      <c r="L82" s="171" t="n">
        <f aca="false">SUM(J82:K82)</f>
        <v>-20000</v>
      </c>
      <c r="N82" s="167" t="n">
        <v>801</v>
      </c>
      <c r="O82" s="168" t="s">
        <v>338</v>
      </c>
      <c r="P82" s="219"/>
      <c r="Q82" s="219" t="n">
        <v>-18500</v>
      </c>
      <c r="R82" s="174" t="n">
        <f aca="false">SUM(P82:Q82)</f>
        <v>-18500</v>
      </c>
      <c r="T82" s="167" t="n">
        <v>801</v>
      </c>
      <c r="U82" s="168" t="s">
        <v>339</v>
      </c>
      <c r="V82" s="219"/>
      <c r="W82" s="219" t="n">
        <v>-3200</v>
      </c>
      <c r="X82" s="211" t="n">
        <f aca="false">SUM(V82:W82)</f>
        <v>-3200</v>
      </c>
      <c r="AC82" s="152"/>
      <c r="AD82" s="152"/>
      <c r="AJ82" s="152"/>
      <c r="AK82" s="152"/>
      <c r="AN82" s="156"/>
      <c r="AP82" s="158"/>
      <c r="AQ82" s="158"/>
      <c r="AV82" s="152"/>
      <c r="AW82" s="152"/>
      <c r="AZ82" s="156"/>
      <c r="BB82" s="158"/>
      <c r="BC82" s="158"/>
      <c r="BH82" s="152"/>
      <c r="BI82" s="152"/>
      <c r="BL82" s="156"/>
      <c r="BN82" s="158"/>
      <c r="BO82" s="158"/>
      <c r="BV82" s="152"/>
      <c r="BW82" s="152"/>
      <c r="BZ82" s="156"/>
      <c r="CB82" s="158"/>
      <c r="CC82" s="158"/>
    </row>
    <row r="83" customFormat="false" ht="17.65" hidden="false" customHeight="false" outlineLevel="0" collapsed="false">
      <c r="A83" s="181"/>
      <c r="B83" s="178" t="s">
        <v>97</v>
      </c>
      <c r="C83" s="194"/>
      <c r="D83" s="194" t="n">
        <v>-1200</v>
      </c>
      <c r="E83" s="184" t="n">
        <f aca="false">SUM(C83:D83)</f>
        <v>-1200</v>
      </c>
      <c r="G83" s="152" t="n">
        <v>0</v>
      </c>
      <c r="H83" s="181"/>
      <c r="I83" s="178" t="s">
        <v>97</v>
      </c>
      <c r="J83" s="194"/>
      <c r="K83" s="194" t="n">
        <v>0</v>
      </c>
      <c r="L83" s="184" t="n">
        <f aca="false">SUM(J83:K83)</f>
        <v>0</v>
      </c>
      <c r="N83" s="181" t="n">
        <v>803</v>
      </c>
      <c r="O83" s="178" t="s">
        <v>97</v>
      </c>
      <c r="P83" s="194"/>
      <c r="Q83" s="194" t="n">
        <v>0</v>
      </c>
      <c r="R83" s="174" t="n">
        <f aca="false">SUM(P83:Q83)</f>
        <v>0</v>
      </c>
      <c r="T83" s="181" t="n">
        <v>802</v>
      </c>
      <c r="U83" s="178" t="s">
        <v>97</v>
      </c>
      <c r="V83" s="194"/>
      <c r="W83" s="194" t="n">
        <v>0</v>
      </c>
      <c r="X83" s="214" t="n">
        <f aca="false">SUM(V83:W83)</f>
        <v>0</v>
      </c>
      <c r="AA83" s="161" t="s">
        <v>45</v>
      </c>
      <c r="AB83" s="162" t="s">
        <v>46</v>
      </c>
      <c r="AC83" s="163" t="s">
        <v>47</v>
      </c>
      <c r="AD83" s="163" t="s">
        <v>48</v>
      </c>
      <c r="AE83" s="164" t="s">
        <v>4</v>
      </c>
      <c r="AH83" s="161" t="s">
        <v>45</v>
      </c>
      <c r="AI83" s="162" t="s">
        <v>46</v>
      </c>
      <c r="AJ83" s="163" t="s">
        <v>47</v>
      </c>
      <c r="AK83" s="163" t="s">
        <v>48</v>
      </c>
      <c r="AL83" s="164" t="s">
        <v>4</v>
      </c>
      <c r="AN83" s="156" t="n">
        <v>4000</v>
      </c>
      <c r="AP83" s="158"/>
      <c r="AQ83" s="158"/>
      <c r="AT83" s="161" t="s">
        <v>45</v>
      </c>
      <c r="AU83" s="162" t="s">
        <v>46</v>
      </c>
      <c r="AV83" s="163" t="s">
        <v>47</v>
      </c>
      <c r="AW83" s="163" t="s">
        <v>48</v>
      </c>
      <c r="AX83" s="164" t="s">
        <v>4</v>
      </c>
      <c r="AZ83" s="156" t="n">
        <v>1000</v>
      </c>
      <c r="BB83" s="158"/>
      <c r="BC83" s="158"/>
      <c r="BF83" s="161" t="s">
        <v>45</v>
      </c>
      <c r="BG83" s="162" t="s">
        <v>46</v>
      </c>
      <c r="BH83" s="163" t="s">
        <v>47</v>
      </c>
      <c r="BI83" s="163" t="s">
        <v>48</v>
      </c>
      <c r="BJ83" s="164" t="s">
        <v>4</v>
      </c>
      <c r="BL83" s="156" t="n">
        <v>2000</v>
      </c>
      <c r="BM83" s="151" t="n">
        <v>1000</v>
      </c>
      <c r="BN83" s="158"/>
      <c r="BO83" s="158"/>
      <c r="BT83" s="161" t="s">
        <v>45</v>
      </c>
      <c r="BU83" s="162" t="s">
        <v>46</v>
      </c>
      <c r="BV83" s="163" t="s">
        <v>47</v>
      </c>
      <c r="BW83" s="163" t="s">
        <v>48</v>
      </c>
      <c r="BX83" s="164" t="s">
        <v>4</v>
      </c>
      <c r="BZ83" s="156" t="n">
        <v>2000</v>
      </c>
      <c r="CA83" s="151" t="n">
        <v>1000</v>
      </c>
      <c r="CB83" s="158"/>
      <c r="CC83" s="158"/>
    </row>
    <row r="84" customFormat="false" ht="12.85" hidden="false" customHeight="false" outlineLevel="0" collapsed="false">
      <c r="A84" s="181"/>
      <c r="B84" s="178" t="s">
        <v>99</v>
      </c>
      <c r="C84" s="194"/>
      <c r="D84" s="194" t="n">
        <v>-1800</v>
      </c>
      <c r="E84" s="184" t="n">
        <f aca="false">SUM(C84:D84)</f>
        <v>-1800</v>
      </c>
      <c r="G84" s="237" t="n">
        <v>0</v>
      </c>
      <c r="H84" s="181"/>
      <c r="I84" s="178" t="s">
        <v>99</v>
      </c>
      <c r="J84" s="194"/>
      <c r="K84" s="194" t="n">
        <v>-1000</v>
      </c>
      <c r="L84" s="184" t="n">
        <f aca="false">SUM(J84:K84)</f>
        <v>-1000</v>
      </c>
      <c r="N84" s="181" t="n">
        <v>804</v>
      </c>
      <c r="O84" s="178" t="s">
        <v>99</v>
      </c>
      <c r="P84" s="194"/>
      <c r="Q84" s="194" t="n">
        <v>-1000</v>
      </c>
      <c r="R84" s="174" t="n">
        <f aca="false">SUM(P84:Q84)</f>
        <v>-1000</v>
      </c>
      <c r="T84" s="181" t="n">
        <v>803</v>
      </c>
      <c r="U84" s="178" t="s">
        <v>99</v>
      </c>
      <c r="V84" s="194"/>
      <c r="W84" s="194" t="n">
        <v>-3000</v>
      </c>
      <c r="X84" s="214" t="n">
        <f aca="false">SUM(V84:W84)</f>
        <v>-3000</v>
      </c>
      <c r="AA84" s="167" t="n">
        <v>801</v>
      </c>
      <c r="AB84" s="168" t="s">
        <v>339</v>
      </c>
      <c r="AC84" s="219"/>
      <c r="AD84" s="219" t="n">
        <v>-3200</v>
      </c>
      <c r="AE84" s="211" t="n">
        <f aca="false">SUM(AC84:AD84)</f>
        <v>-3200</v>
      </c>
      <c r="AH84" s="167" t="n">
        <v>801</v>
      </c>
      <c r="AI84" s="168" t="s">
        <v>339</v>
      </c>
      <c r="AJ84" s="219"/>
      <c r="AK84" s="219" t="n">
        <v>0</v>
      </c>
      <c r="AL84" s="211" t="n">
        <f aca="false">SUM(AJ84:AK84)</f>
        <v>0</v>
      </c>
      <c r="AN84" s="156"/>
      <c r="AP84" s="158"/>
      <c r="AQ84" s="158"/>
      <c r="AT84" s="167" t="n">
        <v>801</v>
      </c>
      <c r="AU84" s="168" t="s">
        <v>339</v>
      </c>
      <c r="AV84" s="219"/>
      <c r="AW84" s="219" t="n">
        <v>0</v>
      </c>
      <c r="AX84" s="211" t="n">
        <f aca="false">SUM(AV84:AW84)</f>
        <v>0</v>
      </c>
      <c r="AZ84" s="156"/>
      <c r="BB84" s="158"/>
      <c r="BC84" s="158"/>
      <c r="BF84" s="167" t="n">
        <v>801</v>
      </c>
      <c r="BG84" s="168" t="s">
        <v>339</v>
      </c>
      <c r="BH84" s="219"/>
      <c r="BI84" s="219" t="n">
        <v>0</v>
      </c>
      <c r="BJ84" s="211" t="n">
        <f aca="false">SUM(BH84:BI84)</f>
        <v>0</v>
      </c>
      <c r="BL84" s="156"/>
      <c r="BN84" s="158"/>
      <c r="BO84" s="158"/>
      <c r="BT84" s="167" t="n">
        <v>801</v>
      </c>
      <c r="BU84" s="168" t="s">
        <v>339</v>
      </c>
      <c r="BV84" s="219"/>
      <c r="BW84" s="219" t="n">
        <v>0</v>
      </c>
      <c r="BX84" s="211" t="n">
        <f aca="false">SUM(BV84:BW84)</f>
        <v>0</v>
      </c>
      <c r="BZ84" s="156"/>
      <c r="CB84" s="158"/>
      <c r="CC84" s="158"/>
    </row>
    <row r="85" customFormat="false" ht="12.85" hidden="false" customHeight="false" outlineLevel="0" collapsed="false">
      <c r="A85" s="181"/>
      <c r="B85" s="178"/>
      <c r="C85" s="194"/>
      <c r="D85" s="194"/>
      <c r="E85" s="184" t="n">
        <f aca="false">SUM(C85:D85)</f>
        <v>0</v>
      </c>
      <c r="H85" s="181"/>
      <c r="I85" s="178"/>
      <c r="J85" s="194"/>
      <c r="K85" s="194"/>
      <c r="L85" s="184" t="n">
        <f aca="false">SUM(J85:K85)</f>
        <v>0</v>
      </c>
      <c r="N85" s="181"/>
      <c r="O85" s="178"/>
      <c r="P85" s="194"/>
      <c r="Q85" s="194"/>
      <c r="R85" s="174" t="n">
        <f aca="false">SUM(P85:Q85)</f>
        <v>0</v>
      </c>
      <c r="T85" s="181"/>
      <c r="U85" s="178"/>
      <c r="V85" s="194"/>
      <c r="W85" s="194"/>
      <c r="X85" s="214" t="n">
        <f aca="false">SUM(V85:W85)</f>
        <v>0</v>
      </c>
      <c r="AA85" s="181" t="n">
        <v>802</v>
      </c>
      <c r="AB85" s="178" t="s">
        <v>97</v>
      </c>
      <c r="AC85" s="194"/>
      <c r="AD85" s="194" t="n">
        <v>0</v>
      </c>
      <c r="AE85" s="214" t="n">
        <f aca="false">SUM(AC85:AD85)</f>
        <v>0</v>
      </c>
      <c r="AH85" s="181" t="n">
        <v>802</v>
      </c>
      <c r="AI85" s="178" t="s">
        <v>97</v>
      </c>
      <c r="AJ85" s="194"/>
      <c r="AK85" s="194" t="n">
        <v>0</v>
      </c>
      <c r="AL85" s="214" t="n">
        <f aca="false">SUM(AJ85:AK85)</f>
        <v>0</v>
      </c>
      <c r="AN85" s="156"/>
      <c r="AP85" s="158"/>
      <c r="AQ85" s="158"/>
      <c r="AT85" s="181" t="n">
        <v>802</v>
      </c>
      <c r="AU85" s="178" t="s">
        <v>97</v>
      </c>
      <c r="AV85" s="194"/>
      <c r="AW85" s="194" t="n">
        <v>0</v>
      </c>
      <c r="AX85" s="214" t="n">
        <f aca="false">SUM(AV85:AW85)</f>
        <v>0</v>
      </c>
      <c r="AZ85" s="156"/>
      <c r="BB85" s="158"/>
      <c r="BC85" s="158"/>
      <c r="BF85" s="181" t="n">
        <v>802</v>
      </c>
      <c r="BG85" s="178" t="s">
        <v>97</v>
      </c>
      <c r="BH85" s="194"/>
      <c r="BI85" s="194" t="n">
        <v>0</v>
      </c>
      <c r="BJ85" s="214" t="n">
        <f aca="false">SUM(BH85:BI85)</f>
        <v>0</v>
      </c>
      <c r="BL85" s="156"/>
      <c r="BN85" s="158"/>
      <c r="BO85" s="158"/>
      <c r="BT85" s="181" t="n">
        <v>802</v>
      </c>
      <c r="BU85" s="178" t="s">
        <v>97</v>
      </c>
      <c r="BV85" s="194"/>
      <c r="BW85" s="194" t="n">
        <v>0</v>
      </c>
      <c r="BX85" s="214" t="n">
        <f aca="false">SUM(BV85:BW85)</f>
        <v>0</v>
      </c>
      <c r="BZ85" s="156"/>
      <c r="CB85" s="158"/>
      <c r="CC85" s="158"/>
    </row>
    <row r="86" customFormat="false" ht="12.85" hidden="false" customHeight="false" outlineLevel="0" collapsed="false">
      <c r="A86" s="192"/>
      <c r="B86" s="196" t="s">
        <v>340</v>
      </c>
      <c r="C86" s="234"/>
      <c r="D86" s="234"/>
      <c r="E86" s="198" t="n">
        <f aca="false">SUM(C86:D86)</f>
        <v>0</v>
      </c>
      <c r="H86" s="192"/>
      <c r="I86" s="196" t="s">
        <v>340</v>
      </c>
      <c r="J86" s="234"/>
      <c r="K86" s="234"/>
      <c r="L86" s="198" t="n">
        <f aca="false">SUM(J86:K86)</f>
        <v>0</v>
      </c>
      <c r="N86" s="192"/>
      <c r="O86" s="196" t="s">
        <v>340</v>
      </c>
      <c r="P86" s="234"/>
      <c r="Q86" s="234"/>
      <c r="R86" s="174" t="n">
        <f aca="false">SUM(P86:Q86)</f>
        <v>0</v>
      </c>
      <c r="T86" s="192"/>
      <c r="U86" s="196" t="s">
        <v>340</v>
      </c>
      <c r="V86" s="234"/>
      <c r="W86" s="234"/>
      <c r="X86" s="215" t="n">
        <f aca="false">SUM(V86:W86)</f>
        <v>0</v>
      </c>
      <c r="AA86" s="181" t="n">
        <v>803</v>
      </c>
      <c r="AB86" s="178" t="s">
        <v>99</v>
      </c>
      <c r="AC86" s="194"/>
      <c r="AD86" s="194" t="n">
        <v>-3000</v>
      </c>
      <c r="AE86" s="214" t="n">
        <f aca="false">SUM(AC86:AD86)</f>
        <v>-3000</v>
      </c>
      <c r="AH86" s="181" t="n">
        <v>803</v>
      </c>
      <c r="AI86" s="178" t="s">
        <v>148</v>
      </c>
      <c r="AJ86" s="194"/>
      <c r="AK86" s="194" t="n">
        <v>0</v>
      </c>
      <c r="AL86" s="214" t="n">
        <f aca="false">SUM(AJ86:AK86)</f>
        <v>0</v>
      </c>
      <c r="AN86" s="156"/>
      <c r="AP86" s="158"/>
      <c r="AQ86" s="158"/>
      <c r="AT86" s="181" t="n">
        <v>803</v>
      </c>
      <c r="AU86" s="178" t="s">
        <v>148</v>
      </c>
      <c r="AV86" s="194"/>
      <c r="AW86" s="194" t="n">
        <v>0</v>
      </c>
      <c r="AX86" s="214" t="n">
        <f aca="false">SUM(AV86:AW86)</f>
        <v>0</v>
      </c>
      <c r="AZ86" s="156"/>
      <c r="BB86" s="158"/>
      <c r="BC86" s="158"/>
      <c r="BF86" s="181" t="n">
        <v>803</v>
      </c>
      <c r="BG86" s="178" t="s">
        <v>148</v>
      </c>
      <c r="BH86" s="194"/>
      <c r="BI86" s="194" t="n">
        <v>0</v>
      </c>
      <c r="BJ86" s="214" t="n">
        <f aca="false">SUM(BH86:BI86)</f>
        <v>0</v>
      </c>
      <c r="BL86" s="156"/>
      <c r="BN86" s="158"/>
      <c r="BO86" s="158"/>
      <c r="BT86" s="181" t="n">
        <v>803</v>
      </c>
      <c r="BU86" s="178" t="s">
        <v>148</v>
      </c>
      <c r="BV86" s="194"/>
      <c r="BW86" s="194" t="n">
        <v>0</v>
      </c>
      <c r="BX86" s="214" t="n">
        <f aca="false">SUM(BV86:BW86)</f>
        <v>0</v>
      </c>
      <c r="BZ86" s="156"/>
      <c r="CB86" s="158"/>
      <c r="CC86" s="158"/>
    </row>
    <row r="87" customFormat="false" ht="12.85" hidden="false" customHeight="false" outlineLevel="0" collapsed="false">
      <c r="E87" s="216" t="n">
        <f aca="false">SUM(E82:E86)</f>
        <v>-23000</v>
      </c>
      <c r="F87" s="152" t="n">
        <v>-8000</v>
      </c>
      <c r="G87" s="152" t="n">
        <f aca="false">SUM(G82:G86)</f>
        <v>-33531</v>
      </c>
      <c r="L87" s="216" t="n">
        <f aca="false">SUM(L82:L86)</f>
        <v>-21000</v>
      </c>
      <c r="O87" s="151" t="s">
        <v>341</v>
      </c>
      <c r="P87" s="152"/>
      <c r="Q87" s="152"/>
      <c r="R87" s="217" t="n">
        <f aca="false">SUM(R82:R86)</f>
        <v>-19500</v>
      </c>
      <c r="V87" s="152"/>
      <c r="W87" s="152"/>
      <c r="X87" s="216" t="n">
        <f aca="false">SUM(X82:X86)</f>
        <v>-6200</v>
      </c>
      <c r="AA87" s="181"/>
      <c r="AB87" s="178"/>
      <c r="AC87" s="194"/>
      <c r="AD87" s="194"/>
      <c r="AE87" s="214" t="n">
        <f aca="false">SUM(AC87:AD87)</f>
        <v>0</v>
      </c>
      <c r="AH87" s="181"/>
      <c r="AI87" s="178" t="s">
        <v>100</v>
      </c>
      <c r="AJ87" s="194"/>
      <c r="AK87" s="194" t="n">
        <v>-1000</v>
      </c>
      <c r="AL87" s="214" t="n">
        <f aca="false">SUM(AJ87:AK87)</f>
        <v>-1000</v>
      </c>
      <c r="AN87" s="156"/>
      <c r="AP87" s="158"/>
      <c r="AQ87" s="158"/>
      <c r="AT87" s="181"/>
      <c r="AU87" s="178" t="s">
        <v>100</v>
      </c>
      <c r="AV87" s="194"/>
      <c r="AW87" s="194" t="n">
        <v>-1000</v>
      </c>
      <c r="AX87" s="214" t="n">
        <f aca="false">SUM(AV87:AW87)</f>
        <v>-1000</v>
      </c>
      <c r="AZ87" s="156"/>
      <c r="BB87" s="158"/>
      <c r="BC87" s="158"/>
      <c r="BF87" s="181"/>
      <c r="BG87" s="178" t="s">
        <v>100</v>
      </c>
      <c r="BH87" s="194"/>
      <c r="BI87" s="194" t="n">
        <v>-2000</v>
      </c>
      <c r="BJ87" s="214" t="n">
        <f aca="false">SUM(BH87:BI87)</f>
        <v>-2000</v>
      </c>
      <c r="BL87" s="156"/>
      <c r="BN87" s="158"/>
      <c r="BO87" s="158"/>
      <c r="BT87" s="181"/>
      <c r="BU87" s="178" t="s">
        <v>100</v>
      </c>
      <c r="BV87" s="194"/>
      <c r="BW87" s="194" t="n">
        <v>-2000</v>
      </c>
      <c r="BX87" s="214" t="n">
        <f aca="false">SUM(BV87:BW87)</f>
        <v>-2000</v>
      </c>
      <c r="BZ87" s="156"/>
      <c r="CB87" s="158"/>
      <c r="CC87" s="158"/>
    </row>
    <row r="88" customFormat="false" ht="12" hidden="false" customHeight="true" outlineLevel="0" collapsed="false">
      <c r="E88" s="159"/>
      <c r="L88" s="159"/>
      <c r="V88" s="152"/>
      <c r="W88" s="152"/>
      <c r="X88" s="159"/>
      <c r="AA88" s="192"/>
      <c r="AB88" s="196" t="s">
        <v>340</v>
      </c>
      <c r="AC88" s="234"/>
      <c r="AD88" s="234"/>
      <c r="AE88" s="215" t="n">
        <f aca="false">SUM(AC88:AD88)</f>
        <v>0</v>
      </c>
      <c r="AH88" s="192"/>
      <c r="AI88" s="196" t="s">
        <v>340</v>
      </c>
      <c r="AJ88" s="234"/>
      <c r="AK88" s="234"/>
      <c r="AL88" s="215" t="n">
        <f aca="false">SUM(AJ88:AK88)</f>
        <v>0</v>
      </c>
      <c r="AN88" s="156"/>
      <c r="AP88" s="158"/>
      <c r="AQ88" s="158"/>
      <c r="AT88" s="192"/>
      <c r="AU88" s="196" t="s">
        <v>340</v>
      </c>
      <c r="AV88" s="234"/>
      <c r="AW88" s="234"/>
      <c r="AX88" s="215" t="n">
        <f aca="false">SUM(AV88:AW88)</f>
        <v>0</v>
      </c>
      <c r="AZ88" s="156"/>
      <c r="BB88" s="158"/>
      <c r="BC88" s="158"/>
      <c r="BF88" s="192"/>
      <c r="BG88" s="196" t="s">
        <v>103</v>
      </c>
      <c r="BH88" s="234"/>
      <c r="BI88" s="234" t="n">
        <v>0</v>
      </c>
      <c r="BJ88" s="215" t="n">
        <f aca="false">SUM(BH88:BI88)</f>
        <v>0</v>
      </c>
      <c r="BL88" s="156"/>
      <c r="BN88" s="158"/>
      <c r="BO88" s="158"/>
      <c r="BT88" s="192"/>
      <c r="BU88" s="196" t="s">
        <v>103</v>
      </c>
      <c r="BV88" s="234"/>
      <c r="BW88" s="234" t="n">
        <v>0</v>
      </c>
      <c r="BX88" s="215" t="n">
        <f aca="false">SUM(BV88:BW88)</f>
        <v>0</v>
      </c>
      <c r="BZ88" s="156"/>
      <c r="CB88" s="158"/>
      <c r="CC88" s="158"/>
    </row>
    <row r="89" customFormat="false" ht="12.85" hidden="false" customHeight="false" outlineLevel="0" collapsed="false">
      <c r="E89" s="159"/>
      <c r="L89" s="159"/>
      <c r="P89" s="248" t="s">
        <v>342</v>
      </c>
      <c r="Q89" s="248" t="n">
        <v>-75540</v>
      </c>
      <c r="V89" s="152"/>
      <c r="W89" s="152"/>
      <c r="X89" s="159"/>
      <c r="AC89" s="152"/>
      <c r="AD89" s="152"/>
      <c r="AE89" s="216" t="n">
        <f aca="false">SUM(AE84:AE88)</f>
        <v>-6200</v>
      </c>
      <c r="AJ89" s="152"/>
      <c r="AK89" s="152"/>
      <c r="AL89" s="216" t="n">
        <f aca="false">SUM(AL84:AL88)</f>
        <v>-1000</v>
      </c>
      <c r="AN89" s="156"/>
      <c r="AP89" s="158"/>
      <c r="AQ89" s="158"/>
      <c r="AV89" s="152"/>
      <c r="AW89" s="152"/>
      <c r="AX89" s="216" t="n">
        <f aca="false">SUM(AX84:AX88)</f>
        <v>-1000</v>
      </c>
      <c r="AZ89" s="156"/>
      <c r="BB89" s="158"/>
      <c r="BC89" s="158"/>
      <c r="BH89" s="152"/>
      <c r="BI89" s="152"/>
      <c r="BJ89" s="216" t="n">
        <f aca="false">SUM(BJ84:BJ88)</f>
        <v>-2000</v>
      </c>
      <c r="BL89" s="156"/>
      <c r="BN89" s="158"/>
      <c r="BO89" s="158"/>
      <c r="BV89" s="152"/>
      <c r="BW89" s="152"/>
      <c r="BX89" s="216" t="n">
        <f aca="false">SUM(BX84:BX88)</f>
        <v>-2000</v>
      </c>
      <c r="BZ89" s="156"/>
      <c r="CB89" s="158"/>
      <c r="CC89" s="158"/>
    </row>
    <row r="90" customFormat="false" ht="12.85" hidden="false" customHeight="false" outlineLevel="0" collapsed="false">
      <c r="D90" s="152" t="s">
        <v>104</v>
      </c>
      <c r="E90" s="249" t="n">
        <f aca="false">E18+E32+E49+E76+E65+E87</f>
        <v>-126310</v>
      </c>
      <c r="F90" s="152" t="n">
        <f aca="false">SUM(F9:F89)</f>
        <v>-75750</v>
      </c>
      <c r="G90" s="152" t="n">
        <f aca="false">G18+G32+G49+G65+G76+G87</f>
        <v>-127370</v>
      </c>
      <c r="K90" s="152" t="s">
        <v>104</v>
      </c>
      <c r="L90" s="249" t="n">
        <f aca="false">L18+L32+L49+L76+L65+L87</f>
        <v>-88540</v>
      </c>
      <c r="V90" s="152"/>
      <c r="W90" s="152" t="s">
        <v>104</v>
      </c>
      <c r="X90" s="249" t="n">
        <f aca="false">X18+X32+X49+X76+X65+X87</f>
        <v>-95585</v>
      </c>
      <c r="Y90" s="151" t="s">
        <v>343</v>
      </c>
      <c r="AC90" s="152"/>
      <c r="AD90" s="152"/>
      <c r="AE90" s="159"/>
      <c r="AJ90" s="152"/>
      <c r="AK90" s="152"/>
      <c r="AL90" s="159"/>
      <c r="AN90" s="156"/>
      <c r="AV90" s="152"/>
      <c r="AW90" s="152"/>
      <c r="AX90" s="159"/>
      <c r="AZ90" s="156"/>
      <c r="BH90" s="152"/>
      <c r="BI90" s="152"/>
      <c r="BJ90" s="159"/>
      <c r="BL90" s="156"/>
      <c r="BV90" s="152"/>
      <c r="BW90" s="152"/>
      <c r="BX90" s="159"/>
      <c r="BZ90" s="156"/>
    </row>
    <row r="91" customFormat="false" ht="12.85" hidden="false" customHeight="false" outlineLevel="0" collapsed="false">
      <c r="AC91" s="152"/>
      <c r="AD91" s="152"/>
      <c r="AE91" s="159"/>
      <c r="AJ91" s="152"/>
      <c r="AK91" s="152"/>
      <c r="AL91" s="159"/>
      <c r="AN91" s="156"/>
      <c r="AV91" s="152"/>
      <c r="AW91" s="152"/>
      <c r="AX91" s="159"/>
      <c r="AZ91" s="156"/>
      <c r="BH91" s="152"/>
      <c r="BI91" s="152"/>
      <c r="BJ91" s="159"/>
      <c r="BL91" s="156"/>
      <c r="BV91" s="152"/>
      <c r="BW91" s="152"/>
      <c r="BX91" s="159"/>
      <c r="BZ91" s="156"/>
    </row>
    <row r="92" customFormat="false" ht="12.85" hidden="false" customHeight="false" outlineLevel="0" collapsed="false">
      <c r="F92" s="152" t="n">
        <v>72210</v>
      </c>
      <c r="AC92" s="152"/>
      <c r="AD92" s="152" t="s">
        <v>104</v>
      </c>
      <c r="AE92" s="249" t="n">
        <f aca="false">AE18+AE32+AE49+AE78+AE67+AE89</f>
        <v>-51275</v>
      </c>
      <c r="AJ92" s="152"/>
      <c r="AK92" s="152" t="s">
        <v>104</v>
      </c>
      <c r="AL92" s="249" t="n">
        <f aca="false">AL18+AL32+AL49+AL78+AL67+AL89</f>
        <v>-55000</v>
      </c>
      <c r="AN92" s="156" t="n">
        <f aca="false">SUM(AN5:AN91)</f>
        <v>58000</v>
      </c>
      <c r="AV92" s="152"/>
      <c r="AW92" s="152" t="s">
        <v>104</v>
      </c>
      <c r="AX92" s="249" t="n">
        <f aca="false">AX18+AX32+AX49+AX78+AX67+AX89</f>
        <v>-54000</v>
      </c>
      <c r="AZ92" s="156" t="n">
        <f aca="false">SUM(AZ5:AZ91)</f>
        <v>54000</v>
      </c>
      <c r="BH92" s="152"/>
      <c r="BI92" s="152" t="s">
        <v>104</v>
      </c>
      <c r="BJ92" s="249" t="n">
        <f aca="false">BJ18+BJ32+BJ49+BJ78+BJ67+BJ89</f>
        <v>-47691.8</v>
      </c>
      <c r="BL92" s="156" t="n">
        <f aca="false">SUM(BL5:BL91)</f>
        <v>48000</v>
      </c>
      <c r="BV92" s="152"/>
      <c r="BW92" s="152" t="s">
        <v>104</v>
      </c>
      <c r="BX92" s="249" t="n">
        <f aca="false">BX18+BX32+BX49+BX78+BX67+BX89</f>
        <v>-57985</v>
      </c>
      <c r="BZ92" s="156" t="n">
        <f aca="false">SUM(BZ5:BZ91)</f>
        <v>58000</v>
      </c>
    </row>
  </sheetData>
  <printOptions headings="false" gridLines="false" gridLinesSet="true" horizontalCentered="false" verticalCentered="false"/>
  <pageMargins left="0.747916666666667" right="0.747916666666667" top="0.511805555555555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&amp;R&amp;"Calibri,Normal"&amp;11 2007-10-26/Asgeir</oddHeader>
    <oddFooter>&amp;L&amp;"Calibri,Normal"&amp;11File: &amp;F&amp;R&amp;"Calibri,Normal"&amp;11Page: &amp;P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395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sv-SE</dc:language>
  <cp:lastModifiedBy/>
  <dcterms:modified xsi:type="dcterms:W3CDTF">2017-01-07T23:13:48Z</dcterms:modified>
  <cp:revision>3</cp:revision>
  <dc:subject/>
  <dc:title/>
</cp:coreProperties>
</file>