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1760"/>
  </bookViews>
  <sheets>
    <sheet name="Budget 2016" sheetId="1" r:id="rId1"/>
    <sheet name="Detaljer" sheetId="3" r:id="rId2"/>
    <sheet name=" Budget per Aktivitet 2008-2015" sheetId="4" r:id="rId3"/>
  </sheets>
  <calcPr calcId="145621"/>
</workbook>
</file>

<file path=xl/calcChain.xml><?xml version="1.0" encoding="utf-8"?>
<calcChain xmlns="http://schemas.openxmlformats.org/spreadsheetml/2006/main">
  <c r="G88" i="3" l="1"/>
  <c r="G89" i="3"/>
  <c r="H9" i="1"/>
  <c r="I9" i="1"/>
  <c r="J9" i="1"/>
  <c r="J5" i="1" l="1"/>
  <c r="J6" i="1"/>
  <c r="J7" i="1"/>
  <c r="J8" i="1"/>
  <c r="J10" i="1"/>
  <c r="J11" i="1"/>
  <c r="J12" i="1"/>
  <c r="J16" i="1"/>
  <c r="BZ92" i="4"/>
  <c r="BX10" i="4"/>
  <c r="BX11" i="4"/>
  <c r="BW12" i="4"/>
  <c r="BW13" i="4"/>
  <c r="BX13" i="4" s="1"/>
  <c r="BW14" i="4"/>
  <c r="BV15" i="4"/>
  <c r="BX15" i="4" s="1"/>
  <c r="BX16" i="4"/>
  <c r="BW17" i="4"/>
  <c r="BX17" i="4"/>
  <c r="BX24" i="4"/>
  <c r="BX25" i="4"/>
  <c r="BW26" i="4"/>
  <c r="BX26" i="4" s="1"/>
  <c r="BW27" i="4"/>
  <c r="BX27" i="4" s="1"/>
  <c r="BW28" i="4"/>
  <c r="BX28" i="4" s="1"/>
  <c r="BV29" i="4"/>
  <c r="BX29" i="4" s="1"/>
  <c r="BX30" i="4"/>
  <c r="BX38" i="4"/>
  <c r="BX49" i="4" s="1"/>
  <c r="BX39" i="4"/>
  <c r="BW40" i="4"/>
  <c r="BX40" i="4" s="1"/>
  <c r="BW41" i="4"/>
  <c r="BX41" i="4" s="1"/>
  <c r="BW42" i="4"/>
  <c r="BX42" i="4" s="1"/>
  <c r="BW43" i="4"/>
  <c r="BX43" i="4" s="1"/>
  <c r="BW44" i="4"/>
  <c r="BX44" i="4" s="1"/>
  <c r="BV45" i="4"/>
  <c r="BX45" i="4" s="1"/>
  <c r="BX48" i="4"/>
  <c r="BX74" i="4"/>
  <c r="BX75" i="4"/>
  <c r="BX76" i="4"/>
  <c r="BV77" i="4"/>
  <c r="BX77" i="4"/>
  <c r="BX55" i="4"/>
  <c r="BX56" i="4"/>
  <c r="BW57" i="4"/>
  <c r="BW58" i="4"/>
  <c r="BX58" i="4" s="1"/>
  <c r="BW59" i="4"/>
  <c r="BX59" i="4" s="1"/>
  <c r="BW60" i="4"/>
  <c r="BX60" i="4" s="1"/>
  <c r="BW61" i="4"/>
  <c r="BX61" i="4" s="1"/>
  <c r="BV62" i="4"/>
  <c r="BX62" i="4" s="1"/>
  <c r="BX66" i="4"/>
  <c r="BX84" i="4"/>
  <c r="BX89" i="4" s="1"/>
  <c r="BX85" i="4"/>
  <c r="BX86" i="4"/>
  <c r="BX87" i="4"/>
  <c r="BX88" i="4"/>
  <c r="BL92" i="4"/>
  <c r="BJ10" i="4"/>
  <c r="BJ11" i="4"/>
  <c r="BI12" i="4"/>
  <c r="BO17" i="4" s="1"/>
  <c r="BI13" i="4"/>
  <c r="BJ13" i="4" s="1"/>
  <c r="BI14" i="4"/>
  <c r="BJ14" i="4" s="1"/>
  <c r="BH15" i="4"/>
  <c r="BJ15" i="4" s="1"/>
  <c r="BJ16" i="4"/>
  <c r="BI17" i="4"/>
  <c r="BJ17" i="4"/>
  <c r="BJ24" i="4"/>
  <c r="BJ25" i="4"/>
  <c r="BI26" i="4"/>
  <c r="BJ26" i="4" s="1"/>
  <c r="BI27" i="4"/>
  <c r="BJ27" i="4" s="1"/>
  <c r="BI28" i="4"/>
  <c r="BJ28" i="4" s="1"/>
  <c r="BH29" i="4"/>
  <c r="BJ29" i="4" s="1"/>
  <c r="BJ30" i="4"/>
  <c r="BJ38" i="4"/>
  <c r="BJ39" i="4"/>
  <c r="BI40" i="4"/>
  <c r="BJ40" i="4" s="1"/>
  <c r="BI41" i="4"/>
  <c r="BJ41" i="4" s="1"/>
  <c r="BI42" i="4"/>
  <c r="BJ42" i="4" s="1"/>
  <c r="BI43" i="4"/>
  <c r="BJ43" i="4" s="1"/>
  <c r="BI44" i="4"/>
  <c r="BJ44" i="4" s="1"/>
  <c r="BH45" i="4"/>
  <c r="BJ45" i="4" s="1"/>
  <c r="BJ48" i="4"/>
  <c r="BJ74" i="4"/>
  <c r="BJ75" i="4"/>
  <c r="BJ76" i="4"/>
  <c r="BH77" i="4"/>
  <c r="BJ77" i="4"/>
  <c r="BJ55" i="4"/>
  <c r="BJ56" i="4"/>
  <c r="BI57" i="4"/>
  <c r="BI58" i="4"/>
  <c r="BJ58" i="4" s="1"/>
  <c r="BI59" i="4"/>
  <c r="BJ59" i="4" s="1"/>
  <c r="BI60" i="4"/>
  <c r="BJ60" i="4" s="1"/>
  <c r="BI61" i="4"/>
  <c r="BJ61" i="4" s="1"/>
  <c r="BH62" i="4"/>
  <c r="BJ62" i="4" s="1"/>
  <c r="BJ66" i="4"/>
  <c r="BJ84" i="4"/>
  <c r="BJ85" i="4"/>
  <c r="BJ86" i="4"/>
  <c r="BJ87" i="4"/>
  <c r="BJ88" i="4"/>
  <c r="AZ92" i="4"/>
  <c r="AX10" i="4"/>
  <c r="AX11" i="4"/>
  <c r="AX12" i="4"/>
  <c r="AX13" i="4"/>
  <c r="AW14" i="4"/>
  <c r="AX14" i="4" s="1"/>
  <c r="BC17" i="4"/>
  <c r="AV15" i="4" s="1"/>
  <c r="AX15" i="4" s="1"/>
  <c r="AX16" i="4"/>
  <c r="AX17" i="4"/>
  <c r="AX24" i="4"/>
  <c r="AX25" i="4"/>
  <c r="AW26" i="4"/>
  <c r="AW27" i="4"/>
  <c r="AX27" i="4" s="1"/>
  <c r="AX28" i="4"/>
  <c r="AX30" i="4"/>
  <c r="AX38" i="4"/>
  <c r="AX39" i="4"/>
  <c r="AW40" i="4"/>
  <c r="AW41" i="4"/>
  <c r="AX41" i="4" s="1"/>
  <c r="AW42" i="4"/>
  <c r="AX42" i="4" s="1"/>
  <c r="AW43" i="4"/>
  <c r="AX43" i="4" s="1"/>
  <c r="AW44" i="4"/>
  <c r="AX44" i="4" s="1"/>
  <c r="AX48" i="4"/>
  <c r="AW74" i="4"/>
  <c r="AX74" i="4"/>
  <c r="AX78" i="4" s="1"/>
  <c r="AX77" i="4"/>
  <c r="AX55" i="4"/>
  <c r="AX56" i="4"/>
  <c r="AW57" i="4"/>
  <c r="AX57" i="4"/>
  <c r="AW58" i="4"/>
  <c r="AX58" i="4"/>
  <c r="AW59" i="4"/>
  <c r="AX59" i="4"/>
  <c r="AW60" i="4"/>
  <c r="AX60" i="4"/>
  <c r="AW61" i="4"/>
  <c r="AX61" i="4"/>
  <c r="BC66" i="4"/>
  <c r="AV62" i="4"/>
  <c r="AX62" i="4" s="1"/>
  <c r="AX84" i="4"/>
  <c r="AX85" i="4"/>
  <c r="AX86" i="4"/>
  <c r="AX87" i="4"/>
  <c r="AX88" i="4"/>
  <c r="AX89" i="4"/>
  <c r="AN92" i="4"/>
  <c r="AL10" i="4"/>
  <c r="AL11" i="4"/>
  <c r="AL12" i="4"/>
  <c r="AL13" i="4"/>
  <c r="AK14" i="4"/>
  <c r="AQ17" i="4" s="1"/>
  <c r="AJ15" i="4" s="1"/>
  <c r="AL15" i="4" s="1"/>
  <c r="AL14" i="4"/>
  <c r="AL16" i="4"/>
  <c r="AL17" i="4"/>
  <c r="AL24" i="4"/>
  <c r="AL25" i="4"/>
  <c r="AL32" i="4" s="1"/>
  <c r="AK26" i="4"/>
  <c r="AL26" i="4"/>
  <c r="AK27" i="4"/>
  <c r="AL27" i="4"/>
  <c r="AL28" i="4"/>
  <c r="AQ31" i="4"/>
  <c r="AJ29" i="4" s="1"/>
  <c r="AL29" i="4"/>
  <c r="AL30" i="4"/>
  <c r="AL38" i="4"/>
  <c r="AL39" i="4"/>
  <c r="AK40" i="4"/>
  <c r="AL40" i="4"/>
  <c r="AK41" i="4"/>
  <c r="AL41" i="4"/>
  <c r="AK42" i="4"/>
  <c r="AL42" i="4"/>
  <c r="AK43" i="4"/>
  <c r="AL43" i="4"/>
  <c r="AK44" i="4"/>
  <c r="AL44" i="4"/>
  <c r="AQ48" i="4"/>
  <c r="AJ45" i="4"/>
  <c r="AL45" i="4" s="1"/>
  <c r="AL48" i="4"/>
  <c r="AK74" i="4"/>
  <c r="AL74" i="4" s="1"/>
  <c r="AL78" i="4" s="1"/>
  <c r="AL77" i="4"/>
  <c r="AL55" i="4"/>
  <c r="AL56" i="4"/>
  <c r="AK57" i="4"/>
  <c r="AL57" i="4" s="1"/>
  <c r="AK58" i="4"/>
  <c r="AL58" i="4" s="1"/>
  <c r="AK59" i="4"/>
  <c r="AL59" i="4" s="1"/>
  <c r="AK60" i="4"/>
  <c r="AL60" i="4" s="1"/>
  <c r="AK61" i="4"/>
  <c r="AL61" i="4" s="1"/>
  <c r="AL84" i="4"/>
  <c r="AL85" i="4"/>
  <c r="AL86" i="4"/>
  <c r="AL87" i="4"/>
  <c r="AL88" i="4"/>
  <c r="AE10" i="4"/>
  <c r="AE12" i="4"/>
  <c r="AE18" i="4" s="1"/>
  <c r="AE13" i="4"/>
  <c r="AD14" i="4"/>
  <c r="AE14" i="4" s="1"/>
  <c r="AE15" i="4"/>
  <c r="AE16" i="4"/>
  <c r="AE17" i="4"/>
  <c r="AE24" i="4"/>
  <c r="AE25" i="4"/>
  <c r="AD26" i="4"/>
  <c r="AE26" i="4" s="1"/>
  <c r="AD27" i="4"/>
  <c r="AE27" i="4" s="1"/>
  <c r="AE28" i="4"/>
  <c r="AC29" i="4"/>
  <c r="AE29" i="4"/>
  <c r="AE30" i="4"/>
  <c r="AE38" i="4"/>
  <c r="AE39" i="4"/>
  <c r="AD40" i="4"/>
  <c r="AE40" i="4"/>
  <c r="AD41" i="4"/>
  <c r="AE41" i="4"/>
  <c r="AD42" i="4"/>
  <c r="AE42" i="4"/>
  <c r="AD43" i="4"/>
  <c r="AE43" i="4"/>
  <c r="AD44" i="4"/>
  <c r="AE44" i="4"/>
  <c r="AC45" i="4"/>
  <c r="AE45" i="4"/>
  <c r="AE48" i="4"/>
  <c r="AD74" i="4"/>
  <c r="AE74" i="4"/>
  <c r="AE78" i="4" s="1"/>
  <c r="AE77" i="4"/>
  <c r="AE55" i="4"/>
  <c r="AE67" i="4" s="1"/>
  <c r="AE56" i="4"/>
  <c r="AD57" i="4"/>
  <c r="AE57" i="4"/>
  <c r="AD58" i="4"/>
  <c r="AE58" i="4"/>
  <c r="AD59" i="4"/>
  <c r="AE59" i="4"/>
  <c r="AD60" i="4"/>
  <c r="AE60" i="4"/>
  <c r="AD61" i="4"/>
  <c r="AE61" i="4"/>
  <c r="AC62" i="4"/>
  <c r="AE62" i="4"/>
  <c r="AE84" i="4"/>
  <c r="AE85" i="4"/>
  <c r="AE86" i="4"/>
  <c r="AE87" i="4"/>
  <c r="AE88" i="4"/>
  <c r="X10" i="4"/>
  <c r="X11" i="4"/>
  <c r="W12" i="4"/>
  <c r="X12" i="4"/>
  <c r="W13" i="4"/>
  <c r="X13" i="4"/>
  <c r="W14" i="4"/>
  <c r="X14" i="4"/>
  <c r="V15" i="4"/>
  <c r="X15" i="4"/>
  <c r="X16" i="4"/>
  <c r="X18" i="4"/>
  <c r="X24" i="4"/>
  <c r="X25" i="4"/>
  <c r="W26" i="4"/>
  <c r="X26" i="4"/>
  <c r="X32" i="4" s="1"/>
  <c r="W27" i="4"/>
  <c r="X27" i="4"/>
  <c r="X28" i="4"/>
  <c r="V29" i="4"/>
  <c r="X29" i="4" s="1"/>
  <c r="X30" i="4"/>
  <c r="X31" i="4"/>
  <c r="X38" i="4"/>
  <c r="X39" i="4"/>
  <c r="W40" i="4"/>
  <c r="X40" i="4"/>
  <c r="W41" i="4"/>
  <c r="X41" i="4"/>
  <c r="W42" i="4"/>
  <c r="X42" i="4"/>
  <c r="W43" i="4"/>
  <c r="X43" i="4"/>
  <c r="W44" i="4"/>
  <c r="X44" i="4"/>
  <c r="V45" i="4"/>
  <c r="X45" i="4"/>
  <c r="X48" i="4"/>
  <c r="X49" i="4"/>
  <c r="W72" i="4"/>
  <c r="X72" i="4"/>
  <c r="X74" i="4"/>
  <c r="X76" i="4"/>
  <c r="X55" i="4"/>
  <c r="X56" i="4"/>
  <c r="W57" i="4"/>
  <c r="X57" i="4"/>
  <c r="W58" i="4"/>
  <c r="X58" i="4"/>
  <c r="W59" i="4"/>
  <c r="X59" i="4"/>
  <c r="V60" i="4"/>
  <c r="X60" i="4"/>
  <c r="X64" i="4"/>
  <c r="X65" i="4"/>
  <c r="X82" i="4"/>
  <c r="X83" i="4"/>
  <c r="X84" i="4"/>
  <c r="X85" i="4"/>
  <c r="X87" i="4" s="1"/>
  <c r="X86" i="4"/>
  <c r="L10" i="4"/>
  <c r="L18" i="4" s="1"/>
  <c r="L90" i="4" s="1"/>
  <c r="L12" i="4"/>
  <c r="K14" i="4"/>
  <c r="L14" i="4" s="1"/>
  <c r="J15" i="4"/>
  <c r="L15" i="4" s="1"/>
  <c r="L16" i="4"/>
  <c r="L17" i="4"/>
  <c r="L24" i="4"/>
  <c r="L26" i="4"/>
  <c r="L28" i="4"/>
  <c r="J29" i="4"/>
  <c r="L29" i="4" s="1"/>
  <c r="L30" i="4"/>
  <c r="L31" i="4"/>
  <c r="L32" i="4"/>
  <c r="L38" i="4"/>
  <c r="L39" i="4"/>
  <c r="K41" i="4"/>
  <c r="L41" i="4"/>
  <c r="K46" i="4"/>
  <c r="L46" i="4"/>
  <c r="L48" i="4"/>
  <c r="L49" i="4"/>
  <c r="L72" i="4"/>
  <c r="L74" i="4"/>
  <c r="L76" i="4" s="1"/>
  <c r="L55" i="4"/>
  <c r="L65" i="4" s="1"/>
  <c r="L56" i="4"/>
  <c r="L57" i="4"/>
  <c r="L58" i="4"/>
  <c r="L60" i="4"/>
  <c r="L64" i="4"/>
  <c r="L82" i="4"/>
  <c r="L83" i="4"/>
  <c r="L84" i="4"/>
  <c r="L85" i="4"/>
  <c r="L86" i="4"/>
  <c r="L87" i="4"/>
  <c r="G18" i="4"/>
  <c r="G32" i="4"/>
  <c r="G49" i="4"/>
  <c r="G60" i="4"/>
  <c r="G65" i="4"/>
  <c r="G87" i="4"/>
  <c r="G90" i="4"/>
  <c r="F90" i="4"/>
  <c r="E10" i="4"/>
  <c r="E18" i="4" s="1"/>
  <c r="E12" i="4"/>
  <c r="D14" i="4"/>
  <c r="E14" i="4" s="1"/>
  <c r="E15" i="4"/>
  <c r="E16" i="4"/>
  <c r="E17" i="4"/>
  <c r="E24" i="4"/>
  <c r="E26" i="4"/>
  <c r="E28" i="4"/>
  <c r="E29" i="4"/>
  <c r="E30" i="4"/>
  <c r="E31" i="4"/>
  <c r="E32" i="4"/>
  <c r="E38" i="4"/>
  <c r="E39" i="4"/>
  <c r="E41" i="4"/>
  <c r="E46" i="4"/>
  <c r="E49" i="4" s="1"/>
  <c r="E48" i="4"/>
  <c r="E72" i="4"/>
  <c r="E74" i="4"/>
  <c r="E55" i="4"/>
  <c r="E56" i="4"/>
  <c r="E57" i="4"/>
  <c r="E58" i="4"/>
  <c r="E60" i="4"/>
  <c r="E64" i="4"/>
  <c r="E65" i="4"/>
  <c r="E82" i="4"/>
  <c r="E83" i="4"/>
  <c r="E84" i="4"/>
  <c r="E85" i="4"/>
  <c r="E87" i="4" s="1"/>
  <c r="E86" i="4"/>
  <c r="R82" i="4"/>
  <c r="R83" i="4"/>
  <c r="R84" i="4"/>
  <c r="R85" i="4"/>
  <c r="R86" i="4"/>
  <c r="BV78" i="4"/>
  <c r="BH78" i="4"/>
  <c r="R72" i="4"/>
  <c r="R76" i="4" s="1"/>
  <c r="R74" i="4"/>
  <c r="BV67" i="4"/>
  <c r="BH67" i="4"/>
  <c r="CC66" i="4"/>
  <c r="R55" i="4"/>
  <c r="R56" i="4"/>
  <c r="R57" i="4"/>
  <c r="R65" i="4" s="1"/>
  <c r="R58" i="4"/>
  <c r="R60" i="4"/>
  <c r="R64" i="4"/>
  <c r="BV49" i="4"/>
  <c r="BH49" i="4"/>
  <c r="R38" i="4"/>
  <c r="R39" i="4"/>
  <c r="R49" i="4" s="1"/>
  <c r="R41" i="4"/>
  <c r="R46" i="4"/>
  <c r="R48" i="4"/>
  <c r="BO48" i="4"/>
  <c r="BV32" i="4"/>
  <c r="R24" i="4"/>
  <c r="R26" i="4"/>
  <c r="R28" i="4"/>
  <c r="R29" i="4"/>
  <c r="R30" i="4"/>
  <c r="R31" i="4"/>
  <c r="M26" i="4"/>
  <c r="BO18" i="4"/>
  <c r="BH18" i="4"/>
  <c r="R10" i="4"/>
  <c r="R12" i="4"/>
  <c r="R18" i="4" s="1"/>
  <c r="Q14" i="4"/>
  <c r="R14" i="4"/>
  <c r="R15" i="4"/>
  <c r="R16" i="4"/>
  <c r="R17" i="4"/>
  <c r="X17" i="4"/>
  <c r="D23" i="1"/>
  <c r="D39" i="1" s="1"/>
  <c r="H5" i="1"/>
  <c r="H6" i="1"/>
  <c r="H7" i="1"/>
  <c r="H8" i="1"/>
  <c r="H10" i="1"/>
  <c r="H11" i="1"/>
  <c r="H12" i="1"/>
  <c r="H16" i="1"/>
  <c r="I10" i="1"/>
  <c r="I8" i="1"/>
  <c r="C39" i="1"/>
  <c r="C19" i="1"/>
  <c r="I5" i="1"/>
  <c r="I16" i="1"/>
  <c r="I11" i="1"/>
  <c r="I7" i="1"/>
  <c r="I6" i="1"/>
  <c r="G85" i="3"/>
  <c r="G84" i="3"/>
  <c r="G91" i="3"/>
  <c r="G123" i="3"/>
  <c r="G124" i="3"/>
  <c r="G125" i="3"/>
  <c r="G126" i="3"/>
  <c r="G128" i="3"/>
  <c r="I122" i="3" s="1"/>
  <c r="G112" i="3"/>
  <c r="G113" i="3"/>
  <c r="G114" i="3"/>
  <c r="G115" i="3"/>
  <c r="G100" i="3"/>
  <c r="G101" i="3"/>
  <c r="G102" i="3"/>
  <c r="G103" i="3"/>
  <c r="G105" i="3" s="1"/>
  <c r="I99" i="3" s="1"/>
  <c r="G10" i="3"/>
  <c r="G11" i="3"/>
  <c r="F12" i="3"/>
  <c r="G12" i="3"/>
  <c r="G18" i="3" s="1"/>
  <c r="F13" i="3"/>
  <c r="G13" i="3"/>
  <c r="F14" i="3"/>
  <c r="G14" i="3"/>
  <c r="E15" i="3"/>
  <c r="G15" i="3"/>
  <c r="G16" i="3"/>
  <c r="F17" i="3"/>
  <c r="G17" i="3" s="1"/>
  <c r="G24" i="3"/>
  <c r="G25" i="3"/>
  <c r="G32" i="3" s="1"/>
  <c r="I23" i="3" s="1"/>
  <c r="L31" i="3" s="1"/>
  <c r="F26" i="3"/>
  <c r="G26" i="3"/>
  <c r="F27" i="3"/>
  <c r="F32" i="3" s="1"/>
  <c r="G27" i="3"/>
  <c r="F28" i="3"/>
  <c r="G28" i="3"/>
  <c r="E29" i="3"/>
  <c r="G29" i="3"/>
  <c r="G30" i="3"/>
  <c r="G38" i="3"/>
  <c r="G39" i="3"/>
  <c r="G49" i="3" s="1"/>
  <c r="I37" i="3" s="1"/>
  <c r="L48" i="3" s="1"/>
  <c r="F40" i="3"/>
  <c r="G40" i="3"/>
  <c r="F41" i="3"/>
  <c r="G41" i="3"/>
  <c r="F42" i="3"/>
  <c r="G42" i="3"/>
  <c r="F43" i="3"/>
  <c r="G43" i="3"/>
  <c r="F44" i="3"/>
  <c r="G44" i="3"/>
  <c r="E45" i="3"/>
  <c r="G45" i="3"/>
  <c r="G48" i="3"/>
  <c r="G74" i="3"/>
  <c r="G75" i="3"/>
  <c r="G78" i="3" s="1"/>
  <c r="I73" i="3" s="1"/>
  <c r="G76" i="3"/>
  <c r="E77" i="3"/>
  <c r="G77" i="3" s="1"/>
  <c r="G55" i="3"/>
  <c r="G56" i="3"/>
  <c r="G67" i="3" s="1"/>
  <c r="I54" i="3" s="1"/>
  <c r="L66" i="3" s="1"/>
  <c r="F57" i="3"/>
  <c r="G57" i="3"/>
  <c r="F58" i="3"/>
  <c r="G58" i="3"/>
  <c r="F59" i="3"/>
  <c r="G59" i="3"/>
  <c r="F60" i="3"/>
  <c r="G60" i="3"/>
  <c r="F61" i="3"/>
  <c r="G61" i="3"/>
  <c r="E62" i="3"/>
  <c r="G62" i="3"/>
  <c r="G66" i="3"/>
  <c r="G86" i="3"/>
  <c r="G87" i="3"/>
  <c r="L78" i="3"/>
  <c r="F78" i="3"/>
  <c r="E78" i="3"/>
  <c r="F67" i="3"/>
  <c r="E67" i="3"/>
  <c r="F49" i="3"/>
  <c r="E49" i="3"/>
  <c r="E32" i="3"/>
  <c r="E18" i="3"/>
  <c r="E39" i="1"/>
  <c r="E19" i="1"/>
  <c r="D19" i="1"/>
  <c r="E44" i="1" l="1"/>
  <c r="C44" i="1"/>
  <c r="I9" i="3"/>
  <c r="R32" i="4"/>
  <c r="R87" i="4"/>
  <c r="AL18" i="4"/>
  <c r="AX40" i="4"/>
  <c r="AX49" i="4" s="1"/>
  <c r="BC48" i="4"/>
  <c r="AV45" i="4" s="1"/>
  <c r="AX45" i="4" s="1"/>
  <c r="AX18" i="4"/>
  <c r="BW67" i="4"/>
  <c r="BX57" i="4"/>
  <c r="CC18" i="4"/>
  <c r="BX14" i="4"/>
  <c r="BX18" i="4"/>
  <c r="G92" i="3"/>
  <c r="I83" i="3" s="1"/>
  <c r="BW18" i="4"/>
  <c r="X90" i="4"/>
  <c r="AX67" i="4"/>
  <c r="BJ78" i="4"/>
  <c r="BJ32" i="4"/>
  <c r="D44" i="1"/>
  <c r="L18" i="3"/>
  <c r="H19" i="1"/>
  <c r="BH32" i="4"/>
  <c r="E76" i="4"/>
  <c r="E90" i="4" s="1"/>
  <c r="AE89" i="4"/>
  <c r="AE32" i="4"/>
  <c r="AL89" i="4"/>
  <c r="AL49" i="4"/>
  <c r="AX26" i="4"/>
  <c r="AX32" i="4" s="1"/>
  <c r="BC31" i="4"/>
  <c r="AV29" i="4" s="1"/>
  <c r="AX29" i="4" s="1"/>
  <c r="BJ57" i="4"/>
  <c r="BI67" i="4"/>
  <c r="BO66" i="4"/>
  <c r="BJ49" i="4"/>
  <c r="BJ18" i="4"/>
  <c r="BX67" i="4"/>
  <c r="CF66" i="4" s="1"/>
  <c r="BX12" i="4"/>
  <c r="CC17" i="4"/>
  <c r="J19" i="1"/>
  <c r="BJ67" i="4"/>
  <c r="BI18" i="4"/>
  <c r="BJ12" i="4"/>
  <c r="F18" i="3"/>
  <c r="I12" i="1"/>
  <c r="AE49" i="4"/>
  <c r="AE92" i="4" s="1"/>
  <c r="G117" i="3"/>
  <c r="I111" i="3" s="1"/>
  <c r="I19" i="1"/>
  <c r="CC31" i="4"/>
  <c r="AQ66" i="4"/>
  <c r="AJ62" i="4" s="1"/>
  <c r="AL62" i="4" s="1"/>
  <c r="AL67" i="4" s="1"/>
  <c r="BJ89" i="4"/>
  <c r="BX78" i="4"/>
  <c r="BX32" i="4"/>
  <c r="BV18" i="4"/>
  <c r="BO31" i="4"/>
  <c r="BW32" i="4"/>
  <c r="BW49" i="4"/>
  <c r="BI32" i="4"/>
  <c r="CC48" i="4"/>
  <c r="BI49" i="4"/>
  <c r="BX92" i="4" l="1"/>
  <c r="BJ92" i="4"/>
  <c r="AX92" i="4"/>
  <c r="AL92" i="4"/>
  <c r="L17" i="3"/>
  <c r="I132" i="3"/>
  <c r="G95" i="3"/>
</calcChain>
</file>

<file path=xl/comments1.xml><?xml version="1.0" encoding="utf-8"?>
<comments xmlns="http://schemas.openxmlformats.org/spreadsheetml/2006/main">
  <authors>
    <author>Lennart Andersson</author>
  </authors>
  <commentList>
    <comment ref="D100" authorId="0">
      <text>
        <r>
          <rPr>
            <b/>
            <sz val="9"/>
            <color indexed="81"/>
            <rFont val="Tahoma"/>
            <charset val="1"/>
          </rPr>
          <t>Lennart Andersson:</t>
        </r>
        <r>
          <rPr>
            <sz val="9"/>
            <color indexed="81"/>
            <rFont val="Tahoma"/>
            <charset val="1"/>
          </rPr>
          <t xml:space="preserve">
10 kr/anmäld deltagare Se instruktion för Vårserien</t>
        </r>
      </text>
    </comment>
  </commentList>
</comments>
</file>

<file path=xl/sharedStrings.xml><?xml version="1.0" encoding="utf-8"?>
<sst xmlns="http://schemas.openxmlformats.org/spreadsheetml/2006/main" count="964" uniqueCount="311">
  <si>
    <t>Kommitté:</t>
  </si>
  <si>
    <t>Budget</t>
  </si>
  <si>
    <t>Utfall</t>
  </si>
  <si>
    <t>Intäkter</t>
  </si>
  <si>
    <t>Summa intäkter</t>
  </si>
  <si>
    <t>Kostnader</t>
  </si>
  <si>
    <t>Summa kostnader</t>
  </si>
  <si>
    <t>Resultat *</t>
  </si>
  <si>
    <t>* Resultatet motsvaras av de budgeterade GOF-medel som kommittén tilldelas.</t>
  </si>
  <si>
    <t>Övriga kostnader</t>
  </si>
  <si>
    <t>Ungdomskommittén</t>
  </si>
  <si>
    <t>Unionsmatchen</t>
  </si>
  <si>
    <t>Götalandsmästerskap (GM)</t>
  </si>
  <si>
    <t>USM-läger</t>
  </si>
  <si>
    <t>USM</t>
  </si>
  <si>
    <t>Vårserien/Närnattcup/Ungdomsserien</t>
  </si>
  <si>
    <r>
      <t>Sommarläger</t>
    </r>
    <r>
      <rPr>
        <sz val="8"/>
        <rFont val="Arial"/>
        <family val="2"/>
      </rPr>
      <t xml:space="preserve"> (10-12 åringar)</t>
    </r>
  </si>
  <si>
    <t>Förs av idrottskläder/idrottsmaterial</t>
  </si>
  <si>
    <t>3175?</t>
  </si>
  <si>
    <t>Daladubbeln</t>
  </si>
  <si>
    <t>(Ränteintäkt från Ungdomsfonden)</t>
  </si>
  <si>
    <t>Inköp kläder</t>
  </si>
  <si>
    <t>Kaffe och fika</t>
  </si>
  <si>
    <t>Kartkostnader</t>
  </si>
  <si>
    <t>4175?</t>
  </si>
  <si>
    <t xml:space="preserve">Daladubbeln </t>
  </si>
  <si>
    <r>
      <t xml:space="preserve">Utbildning &amp; konferenskostnader </t>
    </r>
    <r>
      <rPr>
        <sz val="8"/>
        <rFont val="Arial"/>
        <family val="2"/>
      </rPr>
      <t>(Unga ledare)</t>
    </r>
  </si>
  <si>
    <r>
      <t>Utmärkelser,medaljer &amp; plaketter</t>
    </r>
    <r>
      <rPr>
        <sz val="8"/>
        <rFont val="Arial"/>
        <family val="2"/>
      </rPr>
      <t>(årets ungdom)</t>
    </r>
  </si>
  <si>
    <t>Budget 2016</t>
  </si>
  <si>
    <t>BUDGETÄSKANDE 2016 U-grupp</t>
  </si>
  <si>
    <t>Princip: GOF bidrar med delar av resa, startavgifter</t>
  </si>
  <si>
    <t>Budget GOF</t>
  </si>
  <si>
    <t>Deltagare</t>
  </si>
  <si>
    <t>Deltagaravgift</t>
  </si>
  <si>
    <t>och kostnader för ledare.</t>
  </si>
  <si>
    <r>
      <t xml:space="preserve">AKTIVITET </t>
    </r>
    <r>
      <rPr>
        <b/>
        <sz val="16"/>
        <color indexed="10"/>
        <rFont val="Arial"/>
        <family val="2"/>
      </rPr>
      <t>UM 28-29</t>
    </r>
    <r>
      <rPr>
        <b/>
        <i/>
        <sz val="16"/>
        <color indexed="10"/>
        <rFont val="Arial"/>
        <family val="2"/>
      </rPr>
      <t xml:space="preserve"> maj i Oslo och Akershus</t>
    </r>
  </si>
  <si>
    <t>Konto</t>
  </si>
  <si>
    <t xml:space="preserve">Aktivitet </t>
  </si>
  <si>
    <t>Inkomster</t>
  </si>
  <si>
    <t>Utgifter</t>
  </si>
  <si>
    <t>Netto</t>
  </si>
  <si>
    <t>Antal</t>
  </si>
  <si>
    <t>Resa till Fossum? med buss (ingen mom pga utlandsresa)</t>
  </si>
  <si>
    <t>Boende för chaufför(2 nätter)</t>
  </si>
  <si>
    <t xml:space="preserve">Mat/logi (36 st a  450 NOK)    </t>
  </si>
  <si>
    <t xml:space="preserve">Mat/logi ledare (6 st a  450 NOK)    </t>
  </si>
  <si>
    <t>Startavgifter, 36 löpare a 70 NOK * 2 starter + 500 NOK prispeng</t>
  </si>
  <si>
    <t>36 löpare som betalar 885 kronor var</t>
  </si>
  <si>
    <t>6 ledare som betalar 0kr</t>
  </si>
  <si>
    <t>Hyra brickor (20NOK/pinne) om Emit</t>
  </si>
  <si>
    <t>Beräknad kostnad</t>
  </si>
  <si>
    <t>Varav startavgifter/hyra</t>
  </si>
  <si>
    <r>
      <t xml:space="preserve">AKTIVITET </t>
    </r>
    <r>
      <rPr>
        <b/>
        <i/>
        <sz val="16"/>
        <color indexed="10"/>
        <rFont val="Arial"/>
        <family val="2"/>
      </rPr>
      <t>Götalandsmästerskap 12-14 aug i Varberg (fred-sön)</t>
    </r>
  </si>
  <si>
    <t>Resa till tävling med buss</t>
  </si>
  <si>
    <t>Hotell chaufför (2 nätter)</t>
  </si>
  <si>
    <t>Mat/logi löpare 60 st * ( 2014 700kr)</t>
  </si>
  <si>
    <t xml:space="preserve">Mat/logi ledare 6 st </t>
  </si>
  <si>
    <t>Startavgifter 60* 65 kr/start* 3 starter)</t>
  </si>
  <si>
    <t>60 löpare (ungdomar) som betalar 1100 kronor var</t>
  </si>
  <si>
    <r>
      <t xml:space="preserve">AKTIVITET </t>
    </r>
    <r>
      <rPr>
        <b/>
        <i/>
        <sz val="16"/>
        <color indexed="10"/>
        <rFont val="Arial"/>
        <family val="2"/>
      </rPr>
      <t>USM-läger ?? i Värmland</t>
    </r>
  </si>
  <si>
    <t>Resa till lägret/tävlingar med buss</t>
  </si>
  <si>
    <t>Logi löpare 45st x 2 nätter  Halden SK stuga</t>
  </si>
  <si>
    <t xml:space="preserve">Mat löpare 45st. x 250kr </t>
  </si>
  <si>
    <t>Logi ledare 4st (20kr natten x 2 nätter)</t>
  </si>
  <si>
    <t>Mat ledare 4st. x 250kr</t>
  </si>
  <si>
    <t>Träningspaket 45st. (175kr)</t>
  </si>
  <si>
    <t>45 löpare (ungdomar) som betalar 920 kronor var</t>
  </si>
  <si>
    <t>Ev. deltagare från annat distrikt.</t>
  </si>
  <si>
    <t>4 ledare som betalar 0 kr</t>
  </si>
  <si>
    <t>per deltagare</t>
  </si>
  <si>
    <r>
      <t xml:space="preserve">AKTIVITET </t>
    </r>
    <r>
      <rPr>
        <b/>
        <i/>
        <sz val="16"/>
        <color indexed="10"/>
        <rFont val="Arial"/>
        <family val="2"/>
      </rPr>
      <t>USM 16-18 sept i Karlstad (fre-sön)</t>
    </r>
  </si>
  <si>
    <t xml:space="preserve">Resa till Karlstad med buss   </t>
  </si>
  <si>
    <t>Frukost, logi för löpare 400kr/natt i tre nätter</t>
  </si>
  <si>
    <t>Frukost, logi för ledare  400kr/natt i tre nätter</t>
  </si>
  <si>
    <t>Startavgifter sprint och lång inkl.  fältluncher samt middag fred. och lördag</t>
  </si>
  <si>
    <t xml:space="preserve">Startavgifter stafett 8 lag x 1000 </t>
  </si>
  <si>
    <t>Ledarpaket, middag för 4st. ledare</t>
  </si>
  <si>
    <t>32 löpare (ungdomar) som betalar 1500 kronor var</t>
  </si>
  <si>
    <t>4 ledare som betalar 0kr</t>
  </si>
  <si>
    <t>Övrigt (subvention USM västar)</t>
  </si>
  <si>
    <t>8000+2400+1560=11960</t>
  </si>
  <si>
    <r>
      <t xml:space="preserve">AKTIVITET </t>
    </r>
    <r>
      <rPr>
        <b/>
        <i/>
        <sz val="16"/>
        <color indexed="10"/>
        <rFont val="Arial"/>
        <family val="2"/>
      </rPr>
      <t>Daladubbeln 15-16 oktober</t>
    </r>
  </si>
  <si>
    <t xml:space="preserve">Ledarersättning (resa, kost, logi) 5 ledare </t>
  </si>
  <si>
    <t>Resa till Falun med buss</t>
  </si>
  <si>
    <t>Logi Falun</t>
  </si>
  <si>
    <t>Deltagarna betalar hela resan</t>
  </si>
  <si>
    <r>
      <t xml:space="preserve">AKTIVITET </t>
    </r>
    <r>
      <rPr>
        <b/>
        <i/>
        <sz val="16"/>
        <color indexed="10"/>
        <rFont val="Arial"/>
        <family val="2"/>
      </rPr>
      <t>Material</t>
    </r>
  </si>
  <si>
    <t>Fika möten</t>
  </si>
  <si>
    <t>Material övrigt ( + flaggor 2000 )</t>
  </si>
  <si>
    <t>Ledarjackor nya ledare</t>
  </si>
  <si>
    <t>Övrigt</t>
  </si>
  <si>
    <t>SUMMA</t>
  </si>
  <si>
    <t>1:a pris ungdomsserien (glass-check)</t>
  </si>
  <si>
    <r>
      <t xml:space="preserve">AKTIVITET </t>
    </r>
    <r>
      <rPr>
        <b/>
        <i/>
        <sz val="16"/>
        <color indexed="10"/>
        <rFont val="Arial"/>
        <family val="2"/>
      </rPr>
      <t>Vårserien/Närnattcup/Ungdomsserien</t>
    </r>
  </si>
  <si>
    <t>Plakettavgift</t>
  </si>
  <si>
    <t>Priser Vårserien, Närnattcup, Ungdomsserien</t>
  </si>
  <si>
    <r>
      <t xml:space="preserve">AKTIVITET </t>
    </r>
    <r>
      <rPr>
        <b/>
        <i/>
        <sz val="16"/>
        <color indexed="10"/>
        <rFont val="Arial"/>
        <family val="2"/>
      </rPr>
      <t>Sommarläger</t>
    </r>
  </si>
  <si>
    <t>Deltagaravgifter  90*900</t>
  </si>
  <si>
    <t>Oförutsedda kostnader</t>
  </si>
  <si>
    <r>
      <t xml:space="preserve">AKTIVITET </t>
    </r>
    <r>
      <rPr>
        <b/>
        <i/>
        <sz val="16"/>
        <color indexed="10"/>
        <rFont val="Arial"/>
        <family val="2"/>
      </rPr>
      <t>Utbildning</t>
    </r>
  </si>
  <si>
    <t>Utbildning</t>
  </si>
  <si>
    <t>(Övrigt)</t>
  </si>
  <si>
    <r>
      <t xml:space="preserve">AKTIVITET </t>
    </r>
    <r>
      <rPr>
        <b/>
        <i/>
        <sz val="16"/>
        <color indexed="10"/>
        <rFont val="Arial"/>
        <family val="2"/>
      </rPr>
      <t>Material, övrigt</t>
    </r>
  </si>
  <si>
    <t>Novembermöte</t>
  </si>
  <si>
    <t>BUDGET 2008</t>
  </si>
  <si>
    <t xml:space="preserve">REV </t>
  </si>
  <si>
    <t>UTFALL 2008</t>
  </si>
  <si>
    <t>BUDGET 2009</t>
  </si>
  <si>
    <t>BUDGET 2009 GOF</t>
  </si>
  <si>
    <t>BUDGETÄSKANDE 2010 U-grupp</t>
  </si>
  <si>
    <t>BUDGETÄSKANDE 2011 U-grupp</t>
  </si>
  <si>
    <t>BUDGETÄSKANDE 2012 U-grupp</t>
  </si>
  <si>
    <t>BUDGETÄSKANDE 2013 U-grupp</t>
  </si>
  <si>
    <t>BUDGETÄSKANDE 2014 U-grupp</t>
  </si>
  <si>
    <t>BUDGETÄSKANDE 2015 U-grupp</t>
  </si>
  <si>
    <t xml:space="preserve">Princip: GOF betalar resa, startavgifter </t>
  </si>
  <si>
    <t>BUDGET</t>
  </si>
  <si>
    <t>Princip: GOF nya regler + prutning. April 2009</t>
  </si>
  <si>
    <t>och juniorledare</t>
  </si>
  <si>
    <t>och ledare</t>
  </si>
  <si>
    <t>Från Anders Spånér</t>
  </si>
  <si>
    <r>
      <t xml:space="preserve">AKTIVITET </t>
    </r>
    <r>
      <rPr>
        <b/>
        <i/>
        <sz val="16"/>
        <color indexed="10"/>
        <rFont val="Arial"/>
        <family val="2"/>
      </rPr>
      <t>Unionsmatchen (31/5-1/6)</t>
    </r>
  </si>
  <si>
    <r>
      <t xml:space="preserve">AKTIVITET </t>
    </r>
    <r>
      <rPr>
        <b/>
        <i/>
        <sz val="16"/>
        <color indexed="10"/>
        <rFont val="Arial"/>
        <family val="2"/>
      </rPr>
      <t>Unionsmatchen (fre-sö)</t>
    </r>
  </si>
  <si>
    <r>
      <t xml:space="preserve">AKTIVITET </t>
    </r>
    <r>
      <rPr>
        <b/>
        <i/>
        <sz val="16"/>
        <color indexed="10"/>
        <rFont val="Arial"/>
        <family val="2"/>
      </rPr>
      <t>Unionsmatchen 5-6/6 i Kungsbacka (lör-sön)</t>
    </r>
  </si>
  <si>
    <r>
      <t xml:space="preserve">AKTIVITET </t>
    </r>
    <r>
      <rPr>
        <b/>
        <i/>
        <sz val="16"/>
        <color indexed="10"/>
        <rFont val="Arial"/>
        <family val="2"/>
      </rPr>
      <t>Unionsmatchen 18-19/6 i Drammen Norge (fred.-sön)</t>
    </r>
  </si>
  <si>
    <r>
      <t xml:space="preserve">AKTIVITET </t>
    </r>
    <r>
      <rPr>
        <b/>
        <sz val="16"/>
        <color indexed="10"/>
        <rFont val="Arial"/>
        <family val="2"/>
      </rPr>
      <t xml:space="preserve">UM </t>
    </r>
    <r>
      <rPr>
        <b/>
        <i/>
        <sz val="16"/>
        <color indexed="10"/>
        <rFont val="Arial"/>
        <family val="2"/>
      </rPr>
      <t>9-10 juni i Bohuslän-Dal (lör.-sön)</t>
    </r>
  </si>
  <si>
    <r>
      <t xml:space="preserve">AKTIVITET </t>
    </r>
    <r>
      <rPr>
        <b/>
        <sz val="16"/>
        <color indexed="10"/>
        <rFont val="Arial"/>
        <family val="2"/>
      </rPr>
      <t>UM 8-9</t>
    </r>
    <r>
      <rPr>
        <b/>
        <i/>
        <sz val="16"/>
        <color indexed="10"/>
        <rFont val="Arial"/>
        <family val="2"/>
      </rPr>
      <t xml:space="preserve"> juni i Göteborg ( Frölunda ) (lör.-sön)</t>
    </r>
  </si>
  <si>
    <r>
      <t xml:space="preserve">AKTIVITET </t>
    </r>
    <r>
      <rPr>
        <b/>
        <sz val="16"/>
        <color indexed="10"/>
        <rFont val="Arial"/>
        <family val="2"/>
      </rPr>
      <t>UM 30 maj-1</t>
    </r>
    <r>
      <rPr>
        <b/>
        <i/>
        <sz val="16"/>
        <color indexed="10"/>
        <rFont val="Arial"/>
        <family val="2"/>
      </rPr>
      <t xml:space="preserve"> juni i Östfold Norge</t>
    </r>
  </si>
  <si>
    <r>
      <t xml:space="preserve">AKTIVITET </t>
    </r>
    <r>
      <rPr>
        <b/>
        <sz val="16"/>
        <color indexed="10"/>
        <rFont val="Arial"/>
        <family val="2"/>
      </rPr>
      <t>UM 29-31</t>
    </r>
    <r>
      <rPr>
        <b/>
        <i/>
        <sz val="16"/>
        <color indexed="10"/>
        <rFont val="Arial"/>
        <family val="2"/>
      </rPr>
      <t xml:space="preserve"> maj i Alingsås</t>
    </r>
  </si>
  <si>
    <t>Utfall: 29 löpare</t>
  </si>
  <si>
    <t xml:space="preserve">Resa till Trollhättan med buss (som inte stannar kvar)   </t>
  </si>
  <si>
    <t xml:space="preserve">Resa till Oslo med buss   </t>
  </si>
  <si>
    <t>Ta in offert</t>
  </si>
  <si>
    <t xml:space="preserve">Resa till xxxx med buss   </t>
  </si>
  <si>
    <t>Resa till Moss med buss   (ej moms pga utlanddestination)</t>
  </si>
  <si>
    <t>Resa till Alingsås med buss (Behöver vi ha buss?)</t>
  </si>
  <si>
    <t>Boende för chaufför (kanske)</t>
  </si>
  <si>
    <t>Boende för chaufför</t>
  </si>
  <si>
    <t xml:space="preserve">Mat/logi        </t>
  </si>
  <si>
    <t xml:space="preserve">Mat/logi (42 st a  500 SEK)    </t>
  </si>
  <si>
    <t xml:space="preserve">Mat/logi löpare (36 st a  400 SEK)    </t>
  </si>
  <si>
    <t xml:space="preserve">Mat/logi (36 st a  500 SEK)    </t>
  </si>
  <si>
    <t xml:space="preserve">Mat/logi (36 st a  450 SEK)    </t>
  </si>
  <si>
    <t xml:space="preserve">Mat/logi ledare (6 st a  400 SEK)    </t>
  </si>
  <si>
    <t xml:space="preserve">Mat/logi ledare (6 st a  500 SEK)    </t>
  </si>
  <si>
    <t xml:space="preserve">Mat/logi ledare (6 st a  450 SEK)    </t>
  </si>
  <si>
    <t>Startavgifter, 36 löpare a 55 kr * 2 starter + 500 kr prispeng</t>
  </si>
  <si>
    <t>Startavgifter, 36 löpare a 65 kr * 2 starter + 600 kr prispeng</t>
  </si>
  <si>
    <t>Startavgifter, 36 löpare a 70 SEK * 2 starter + 500 SEK prispeng</t>
  </si>
  <si>
    <r>
      <t xml:space="preserve">36 löpare som betalar 400 kronor var </t>
    </r>
    <r>
      <rPr>
        <sz val="10"/>
        <color indexed="10"/>
        <rFont val="Arial"/>
        <family val="2"/>
      </rPr>
      <t>(Utfall 450 kr)</t>
    </r>
  </si>
  <si>
    <t>36 löpare som betalar 800 kronor var</t>
  </si>
  <si>
    <t>36 löpare som betalar 500 kronor var</t>
  </si>
  <si>
    <t>36 löpare (ungdomar) som betalar 500 kronor var</t>
  </si>
  <si>
    <t>36 löpare som betalar 1000 kronor var</t>
  </si>
  <si>
    <t>36 löpare som betalar 750 kronor var</t>
  </si>
  <si>
    <t>36 löpare som betalar 700 kronor var</t>
  </si>
  <si>
    <t>36 löpare som betalar 850 kronor var</t>
  </si>
  <si>
    <t>36 löpare som betalar 610 kronor var</t>
  </si>
  <si>
    <t>6 ledare som betalar 0kr.</t>
  </si>
  <si>
    <t>Hyra brickor</t>
  </si>
  <si>
    <t>1400+5280+3000=9680</t>
  </si>
  <si>
    <t>OBS! Kronkursen gör budgeten osäker</t>
  </si>
  <si>
    <r>
      <t xml:space="preserve">AKTIVITET </t>
    </r>
    <r>
      <rPr>
        <b/>
        <i/>
        <sz val="16"/>
        <color indexed="10"/>
        <rFont val="Arial"/>
        <family val="2"/>
      </rPr>
      <t>Götalandsmästerskap 9-10/8</t>
    </r>
  </si>
  <si>
    <r>
      <t xml:space="preserve">AKTIVITET </t>
    </r>
    <r>
      <rPr>
        <b/>
        <i/>
        <sz val="16"/>
        <color indexed="10"/>
        <rFont val="Arial"/>
        <family val="2"/>
      </rPr>
      <t>Götalandsmästerskap 8-9/8 norra Halland (lö-sö)</t>
    </r>
  </si>
  <si>
    <r>
      <t xml:space="preserve">AKTIVITET </t>
    </r>
    <r>
      <rPr>
        <b/>
        <i/>
        <sz val="16"/>
        <color indexed="10"/>
        <rFont val="Arial"/>
        <family val="2"/>
      </rPr>
      <t>Götalandsmästerskap 8-98 norra Halland (lö-sö)</t>
    </r>
  </si>
  <si>
    <r>
      <t xml:space="preserve">AKTIVITET </t>
    </r>
    <r>
      <rPr>
        <b/>
        <i/>
        <sz val="16"/>
        <color indexed="10"/>
        <rFont val="Arial"/>
        <family val="2"/>
      </rPr>
      <t>Götalansmästerskap 14-15/8 i Skara/Lidköping (lör-sön)</t>
    </r>
  </si>
  <si>
    <r>
      <t xml:space="preserve">AKTIVITET </t>
    </r>
    <r>
      <rPr>
        <b/>
        <i/>
        <sz val="16"/>
        <color indexed="10"/>
        <rFont val="Arial"/>
        <family val="2"/>
      </rPr>
      <t>Götalansmästerskap 13-14/8 i Göteborg (lör-sön)</t>
    </r>
  </si>
  <si>
    <r>
      <t xml:space="preserve">AKTIVITET </t>
    </r>
    <r>
      <rPr>
        <b/>
        <i/>
        <sz val="16"/>
        <color indexed="10"/>
        <rFont val="Arial"/>
        <family val="2"/>
      </rPr>
      <t>Götalansmästerskap 10-12 aug i Boxholm, Östergötland (fred-sön)</t>
    </r>
  </si>
  <si>
    <r>
      <t xml:space="preserve">AKTIVITET </t>
    </r>
    <r>
      <rPr>
        <b/>
        <i/>
        <sz val="16"/>
        <color indexed="10"/>
        <rFont val="Arial"/>
        <family val="2"/>
      </rPr>
      <t>Götalansmästerskap 17-18 aug på Fårö, Gottland (fred-sön)</t>
    </r>
  </si>
  <si>
    <r>
      <t xml:space="preserve">AKTIVITET </t>
    </r>
    <r>
      <rPr>
        <b/>
        <i/>
        <sz val="16"/>
        <color indexed="10"/>
        <rFont val="Arial"/>
        <family val="2"/>
      </rPr>
      <t>Götalandsmästerskap 15-17 aug i Bengtsfors, Bohuslän-Dal (fred-sön)</t>
    </r>
  </si>
  <si>
    <r>
      <t xml:space="preserve">AKTIVITET </t>
    </r>
    <r>
      <rPr>
        <b/>
        <i/>
        <sz val="16"/>
        <color indexed="10"/>
        <rFont val="Arial"/>
        <family val="2"/>
      </rPr>
      <t>Götalandsmästerskap 14-16 aug i Hässleholm, Skåne (fred-sön)</t>
    </r>
  </si>
  <si>
    <t>Utfall: 55 löpare</t>
  </si>
  <si>
    <t>Resa till Karlshamn, Blekinge (fredag-söndag)</t>
  </si>
  <si>
    <t>Inga resekostnader, samordnas av deltagare och klubbar</t>
  </si>
  <si>
    <t>Resa till tävling med buss &amp; båt (11360:-)</t>
  </si>
  <si>
    <t>Hotell chaufför (1 natt)</t>
  </si>
  <si>
    <t>Hotell chaufför (3 nätter)</t>
  </si>
  <si>
    <t>Mat/logi, 50 st * (mat 350 + logi 100)</t>
  </si>
  <si>
    <t>Mat/logi, 60 st * (mat 300 + logi 50)</t>
  </si>
  <si>
    <t>Mat/logi löpare 60 st * (mat 300 + logi 65)</t>
  </si>
  <si>
    <t>Mat/logi löpare 60 st * (mat  + logi 400)</t>
  </si>
  <si>
    <t>Mat/logi löpare 60 st * (2013 mat  445+ logi 220, 2014 700kr?)</t>
  </si>
  <si>
    <t>Mat/logi ledare 6 st * (mat 300 + logi 65)</t>
  </si>
  <si>
    <t>Mat/logi ledare 6 st *(mat  + logi 400)</t>
  </si>
  <si>
    <t>Startavgifter 45 * 55 kr/start* 2 starter)</t>
  </si>
  <si>
    <t>Startavgifter 54* 60 kr/start* 2 starter)</t>
  </si>
  <si>
    <t>Startavgifter 60* 65 kr/start* 2 starter)</t>
  </si>
  <si>
    <r>
      <t xml:space="preserve">45 löpare som betalar 500 kronor var </t>
    </r>
    <r>
      <rPr>
        <sz val="10"/>
        <color indexed="10"/>
        <rFont val="Arial"/>
        <family val="2"/>
      </rPr>
      <t>(Utfall 600 kr)</t>
    </r>
  </si>
  <si>
    <t>54 löpare som betalar 400 kronor var</t>
  </si>
  <si>
    <t>54 löpare som betalar 350 kronor var</t>
  </si>
  <si>
    <t>60 löpare (ungdomar) som betalar 500 kronor var</t>
  </si>
  <si>
    <t>60 löpare (ungdomar) som betalar 600 kronor var</t>
  </si>
  <si>
    <t>60 löpare (ungdomar) som betalar 767 kronor var</t>
  </si>
  <si>
    <t>60 löpare (ungdomar) som betalar 1150 kronor var</t>
  </si>
  <si>
    <t xml:space="preserve">                                        </t>
  </si>
  <si>
    <t xml:space="preserve">    Mat på resan fredag kväll betalas av den tävlande</t>
  </si>
  <si>
    <t>7800+2190=9990kr</t>
  </si>
  <si>
    <r>
      <t xml:space="preserve">AKTIVITET </t>
    </r>
    <r>
      <rPr>
        <b/>
        <i/>
        <sz val="16"/>
        <color indexed="10"/>
        <rFont val="Arial"/>
        <family val="2"/>
      </rPr>
      <t>USM-läger på våren (21-25/5)</t>
    </r>
  </si>
  <si>
    <r>
      <t xml:space="preserve">AKTIVITET </t>
    </r>
    <r>
      <rPr>
        <b/>
        <i/>
        <sz val="16"/>
        <color indexed="10"/>
        <rFont val="Arial"/>
        <family val="2"/>
      </rPr>
      <t>USM-läger på våren (3 dagar), Löftan</t>
    </r>
  </si>
  <si>
    <r>
      <t xml:space="preserve">AKTIVITET </t>
    </r>
    <r>
      <rPr>
        <b/>
        <i/>
        <sz val="16"/>
        <color indexed="10"/>
        <rFont val="Arial"/>
        <family val="2"/>
      </rPr>
      <t>USM-läger 26-30/5 i Örnsköldsvik (ons-sön)</t>
    </r>
  </si>
  <si>
    <r>
      <t xml:space="preserve">AKTIVITET </t>
    </r>
    <r>
      <rPr>
        <b/>
        <i/>
        <sz val="16"/>
        <color indexed="10"/>
        <rFont val="Arial"/>
        <family val="2"/>
      </rPr>
      <t>USM-läger Dalsland</t>
    </r>
  </si>
  <si>
    <r>
      <t xml:space="preserve">AKTIVITET </t>
    </r>
    <r>
      <rPr>
        <b/>
        <i/>
        <sz val="16"/>
        <color indexed="10"/>
        <rFont val="Arial"/>
        <family val="2"/>
      </rPr>
      <t>USM-läger 6-7 aug Smålandsstenar</t>
    </r>
  </si>
  <si>
    <r>
      <t xml:space="preserve">AKTIVITET </t>
    </r>
    <r>
      <rPr>
        <b/>
        <i/>
        <sz val="16"/>
        <color indexed="10"/>
        <rFont val="Arial"/>
        <family val="2"/>
      </rPr>
      <t>USM-läger x - x maj Perstorp</t>
    </r>
  </si>
  <si>
    <r>
      <t xml:space="preserve">AKTIVITET </t>
    </r>
    <r>
      <rPr>
        <b/>
        <i/>
        <sz val="16"/>
        <color indexed="10"/>
        <rFont val="Arial"/>
        <family val="2"/>
      </rPr>
      <t>USM-läger 8 - 10 maj i Köping</t>
    </r>
  </si>
  <si>
    <r>
      <t xml:space="preserve">AKTIVITET </t>
    </r>
    <r>
      <rPr>
        <b/>
        <i/>
        <sz val="16"/>
        <color indexed="10"/>
        <rFont val="Arial"/>
        <family val="2"/>
      </rPr>
      <t>USM-läger 8 - 10 maj i Halden</t>
    </r>
  </si>
  <si>
    <t>Utfall: 24 löpare</t>
  </si>
  <si>
    <t>Resa  (Hälsingland, Söderhamn onsdag kväll-söndag)</t>
  </si>
  <si>
    <t>Resa  (4 minibussar som körs av ledare)</t>
  </si>
  <si>
    <t>Hotell chaufför (4 nätter/2)</t>
  </si>
  <si>
    <t>ingår ovan</t>
  </si>
  <si>
    <t xml:space="preserve">Hotell chaufför </t>
  </si>
  <si>
    <t>Hotell chaufför</t>
  </si>
  <si>
    <r>
      <t xml:space="preserve">Logi löpare 42st x 400kr  </t>
    </r>
    <r>
      <rPr>
        <sz val="10"/>
        <color indexed="10"/>
        <rFont val="Arial"/>
        <family val="2"/>
      </rPr>
      <t>(47 x400)</t>
    </r>
  </si>
  <si>
    <t>Logi löpare 45st x 400kr</t>
  </si>
  <si>
    <t>Logi löpare 45st x 2 nätter x 20 kr + 600 per natt Arboga OK stuga</t>
  </si>
  <si>
    <t>Mat/logi</t>
  </si>
  <si>
    <t>Mat/logi (400/delt) 20 deltagare</t>
  </si>
  <si>
    <t>Mat/logi (700/delt)</t>
  </si>
  <si>
    <r>
      <t xml:space="preserve">Mat löpare 42st. x 500kr  </t>
    </r>
    <r>
      <rPr>
        <sz val="10"/>
        <color indexed="10"/>
        <rFont val="Arial"/>
        <family val="2"/>
      </rPr>
      <t>(47x 500)</t>
    </r>
  </si>
  <si>
    <t>Logi ledare 3st (200kr natten x 4 nätter)</t>
  </si>
  <si>
    <t>Logi ledare 4st (200kr natten x 2 nätter)</t>
  </si>
  <si>
    <t>Mat ledare 3st. x 500kr</t>
  </si>
  <si>
    <r>
      <t xml:space="preserve">Träningspaket 45st. (175kr) </t>
    </r>
    <r>
      <rPr>
        <sz val="10"/>
        <color indexed="10"/>
        <rFont val="Arial"/>
        <family val="2"/>
      </rPr>
      <t xml:space="preserve"> (50x 150)</t>
    </r>
  </si>
  <si>
    <r>
      <t xml:space="preserve">42 löpare (ungdomar) </t>
    </r>
    <r>
      <rPr>
        <sz val="10"/>
        <color indexed="10"/>
        <rFont val="Arial"/>
        <family val="2"/>
      </rPr>
      <t>(39)</t>
    </r>
    <r>
      <rPr>
        <sz val="10"/>
        <color indexed="8"/>
        <rFont val="Arial"/>
        <family val="2"/>
      </rPr>
      <t xml:space="preserve"> som betalar 1500 kronor var</t>
    </r>
  </si>
  <si>
    <t>45 löpare (ungdomar) som betalar 1000 kronor var</t>
  </si>
  <si>
    <t>45 löpare (ungdomar) som betalar 750 kronor var</t>
  </si>
  <si>
    <t>45 löpare (ungdomar) som betalar 830 kronor var</t>
  </si>
  <si>
    <t>45 löpare (ungdomar) som betalar 800 kronor var</t>
  </si>
  <si>
    <t>45 löpare (ungdomar) som betalar 880 kronor var</t>
  </si>
  <si>
    <t>Kartor med mera</t>
  </si>
  <si>
    <t>Kartor med mera (150 per delt)</t>
  </si>
  <si>
    <t>3 ledare som betalar 0 kr</t>
  </si>
  <si>
    <t>Eventuellt deltagare från Bohuslän betalar bussresa á 800kr</t>
  </si>
  <si>
    <t xml:space="preserve">   Delad buss med Halland (totalt ca 30000)</t>
  </si>
  <si>
    <t>BD 8 x 1775</t>
  </si>
  <si>
    <r>
      <t xml:space="preserve">AKTIVITET </t>
    </r>
    <r>
      <rPr>
        <b/>
        <i/>
        <sz val="16"/>
        <color indexed="10"/>
        <rFont val="Arial"/>
        <family val="2"/>
      </rPr>
      <t>USM 20-21/9</t>
    </r>
  </si>
  <si>
    <r>
      <t xml:space="preserve">AKTIVITET </t>
    </r>
    <r>
      <rPr>
        <b/>
        <i/>
        <sz val="16"/>
        <color indexed="10"/>
        <rFont val="Arial"/>
        <family val="2"/>
      </rPr>
      <t>USM 19-20/9, Löftan (fr-sö)</t>
    </r>
  </si>
  <si>
    <r>
      <t xml:space="preserve">AKTIVITET </t>
    </r>
    <r>
      <rPr>
        <b/>
        <i/>
        <sz val="16"/>
        <color indexed="10"/>
        <rFont val="Arial"/>
        <family val="2"/>
      </rPr>
      <t>USM 27-29/8 i Örnsköldsvik (fre-sön)</t>
    </r>
  </si>
  <si>
    <r>
      <t xml:space="preserve">AKTIVITET </t>
    </r>
    <r>
      <rPr>
        <b/>
        <i/>
        <sz val="16"/>
        <color indexed="10"/>
        <rFont val="Arial"/>
        <family val="2"/>
      </rPr>
      <t>USM 13-15/9 i Färgelanda (fre-sön)</t>
    </r>
  </si>
  <si>
    <r>
      <t xml:space="preserve">AKTIVITET </t>
    </r>
    <r>
      <rPr>
        <b/>
        <i/>
        <sz val="16"/>
        <color indexed="10"/>
        <rFont val="Arial"/>
        <family val="2"/>
      </rPr>
      <t>USM 14-16 sept i Bredaryd, Småland (fre-sön)</t>
    </r>
  </si>
  <si>
    <r>
      <t xml:space="preserve">AKTIVITET </t>
    </r>
    <r>
      <rPr>
        <b/>
        <i/>
        <sz val="16"/>
        <color indexed="10"/>
        <rFont val="Arial"/>
        <family val="2"/>
      </rPr>
      <t>USM 20-22 sept i Perstorp, Skåne (fre-sön)</t>
    </r>
  </si>
  <si>
    <r>
      <t xml:space="preserve">AKTIVITET </t>
    </r>
    <r>
      <rPr>
        <b/>
        <i/>
        <sz val="16"/>
        <color indexed="10"/>
        <rFont val="Arial"/>
        <family val="2"/>
      </rPr>
      <t>USM 19-21 sept i Köping, Västmanland (fre-sön)</t>
    </r>
  </si>
  <si>
    <r>
      <t xml:space="preserve">AKTIVITET </t>
    </r>
    <r>
      <rPr>
        <b/>
        <i/>
        <sz val="16"/>
        <color indexed="10"/>
        <rFont val="Arial"/>
        <family val="2"/>
      </rPr>
      <t>USM 10-13 sept i Sundsvall (to-sön)</t>
    </r>
  </si>
  <si>
    <t>Ursprunglig' efter en del prutningar.</t>
  </si>
  <si>
    <t>Ursprunglig efter en del prutningar.</t>
  </si>
  <si>
    <t>Utfall: 21 löpare</t>
  </si>
  <si>
    <t>Resa  (Hälsingland, Söderhamn fredag em-söndag)</t>
  </si>
  <si>
    <t xml:space="preserve">Resa till Örnsköldsvik med buss   </t>
  </si>
  <si>
    <t>32 000</t>
  </si>
  <si>
    <t xml:space="preserve">Resa till Högsäter med buss   </t>
  </si>
  <si>
    <t xml:space="preserve">Resa till Perstorp med buss   </t>
  </si>
  <si>
    <t xml:space="preserve">Resa till Köping med buss   </t>
  </si>
  <si>
    <t xml:space="preserve">Resa till Sundsvall med buss   </t>
  </si>
  <si>
    <t>Hotell chaufför (2 nätter/2)</t>
  </si>
  <si>
    <t>Mat övrigt, inkl logi/mat ledare</t>
  </si>
  <si>
    <t>Frukost, middag, inkl logi för löpare</t>
  </si>
  <si>
    <t>Frukost, logi för löpare 600kr x 32</t>
  </si>
  <si>
    <t>Frukost, logi för löpare 400kr/natt</t>
  </si>
  <si>
    <t>Startavgifter, inkl hårt logi och fältluncher</t>
  </si>
  <si>
    <t>Startavgifter, inkl.  fältluncher sprint, lång och stafett</t>
  </si>
  <si>
    <t>28 080</t>
  </si>
  <si>
    <t>Frukost, logi för ledare  600 x 4</t>
  </si>
  <si>
    <t>Frukost, logi för ledare  400kr/natt</t>
  </si>
  <si>
    <t>Frukost, fältlunch, middag, inkl. logi för ledare</t>
  </si>
  <si>
    <r>
      <t xml:space="preserve">20 löpare som betalar 900 kronor var </t>
    </r>
    <r>
      <rPr>
        <sz val="10"/>
        <color indexed="10"/>
        <rFont val="Arial"/>
        <family val="2"/>
      </rPr>
      <t>(utfall 950 kr)</t>
    </r>
  </si>
  <si>
    <t>20 löpare som betalar 1000 kronor var</t>
  </si>
  <si>
    <t>32 löpare (ungdomar) som betalar 1000 kronor var</t>
  </si>
  <si>
    <t>Kostnad för kvällsfika (50% Halland, dras av på bussfakturan)</t>
  </si>
  <si>
    <t xml:space="preserve">    Mat på bussresa betalas av deltagarna</t>
  </si>
  <si>
    <t>Eventuellt medföljande förälder á 1500kr (resa, logi och mat)</t>
  </si>
  <si>
    <t>?</t>
  </si>
  <si>
    <t>32 löpare (ungdomar) som betalar 1600 kronor var</t>
  </si>
  <si>
    <t>32 löpare (ungdomar) som betalar 2100 kronor var</t>
  </si>
  <si>
    <t>Eventuellt deltagare från Bohuslän á 800kr  (bussresa)</t>
  </si>
  <si>
    <t>15 400</t>
  </si>
  <si>
    <t xml:space="preserve">    Delad buss med Halland (totalt ca 25000)</t>
  </si>
  <si>
    <t>Startavgifter 32x520 kr inkl. fältlunch (sprint och lång)</t>
  </si>
  <si>
    <t>Startavgift  stafett 8x1000 inkl. fätlunch</t>
  </si>
  <si>
    <r>
      <t xml:space="preserve">AKTIVITET </t>
    </r>
    <r>
      <rPr>
        <b/>
        <i/>
        <sz val="16"/>
        <color indexed="10"/>
        <rFont val="Arial"/>
        <family val="2"/>
      </rPr>
      <t>Daladubbeln</t>
    </r>
  </si>
  <si>
    <r>
      <t xml:space="preserve">AKTIVITET </t>
    </r>
    <r>
      <rPr>
        <b/>
        <i/>
        <sz val="16"/>
        <color indexed="10"/>
        <rFont val="Arial"/>
        <family val="2"/>
      </rPr>
      <t>Daladubbeln 16-17/10 (lör-sön)</t>
    </r>
  </si>
  <si>
    <r>
      <t xml:space="preserve">AKTIVITET </t>
    </r>
    <r>
      <rPr>
        <b/>
        <i/>
        <sz val="16"/>
        <color indexed="10"/>
        <rFont val="Arial"/>
        <family val="2"/>
      </rPr>
      <t>Daladubbeln 15-16/10 (lör-sön)</t>
    </r>
  </si>
  <si>
    <r>
      <t xml:space="preserve">AKTIVITET </t>
    </r>
    <r>
      <rPr>
        <b/>
        <i/>
        <sz val="16"/>
        <color indexed="10"/>
        <rFont val="Arial"/>
        <family val="2"/>
      </rPr>
      <t>Daladubbeln 13-14 oktober med prel.resa ihop med Västergötland (lör-sön)</t>
    </r>
  </si>
  <si>
    <r>
      <t xml:space="preserve">AKTIVITET </t>
    </r>
    <r>
      <rPr>
        <b/>
        <i/>
        <sz val="16"/>
        <color indexed="10"/>
        <rFont val="Arial"/>
        <family val="2"/>
      </rPr>
      <t>Daladubbeln 19-20 oktober med prel.resa ihop med Västergötland (lör-sön)</t>
    </r>
  </si>
  <si>
    <r>
      <t xml:space="preserve">AKTIVITET </t>
    </r>
    <r>
      <rPr>
        <b/>
        <i/>
        <sz val="16"/>
        <color indexed="10"/>
        <rFont val="Arial"/>
        <family val="2"/>
      </rPr>
      <t>Daladubbeln 18-19 oktober</t>
    </r>
  </si>
  <si>
    <r>
      <t xml:space="preserve">AKTIVITET </t>
    </r>
    <r>
      <rPr>
        <b/>
        <i/>
        <sz val="16"/>
        <color indexed="10"/>
        <rFont val="Arial"/>
        <family val="2"/>
      </rPr>
      <t>Daladubbeln 17-18 oktober</t>
    </r>
  </si>
  <si>
    <t>Ledarersättning (resa, kost, logi) 3 ledare</t>
  </si>
  <si>
    <r>
      <t xml:space="preserve">Ledarersättning (resa, kost, logi) </t>
    </r>
    <r>
      <rPr>
        <sz val="10"/>
        <color indexed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ledare</t>
    </r>
  </si>
  <si>
    <t xml:space="preserve">Ledarersättning (resa, kost, logi) 2 ledare </t>
  </si>
  <si>
    <t>Deltagarna betalar hela resan (arr. Västergötland)</t>
  </si>
  <si>
    <t xml:space="preserve">Ledarersättning (resa, kost, logi) 4 ledare </t>
  </si>
  <si>
    <t>minskat 2300 med bara 1 ledare</t>
  </si>
  <si>
    <t>Utfall: 79 tröjor</t>
  </si>
  <si>
    <t>Inköp Distriktsjackor 50 st á 400 kr</t>
  </si>
  <si>
    <t>Inköp Tävlingströjer modell större 8 st á 400 kr</t>
  </si>
  <si>
    <t>Material övrigt</t>
  </si>
  <si>
    <t>GOF subventionerar tryck 100 kr/jacka</t>
  </si>
  <si>
    <t>minskat 4000</t>
  </si>
  <si>
    <t>Summa:</t>
  </si>
  <si>
    <t>Summa</t>
  </si>
  <si>
    <t>Tänkt bidrag om någon/några Göteborgsungdomar går en utbildning som kan tillgodogöras distriktet</t>
  </si>
  <si>
    <t>Ränteintäkt Ungdomsfond</t>
  </si>
  <si>
    <t>Årets ungdom utses av Ungdomsgruppen</t>
  </si>
  <si>
    <t>10-mila föreningens pris för främjande av nattorientering</t>
  </si>
  <si>
    <t xml:space="preserve"> GOF betalar startavgift för GMOK och Tolered/Utby i ungdomsklassen i 10-mila. 10-milaföreningen återbetalar en startavgift.Den höga budgetkostnaden för 2015 inkluderar inköp av priser för ett antal år framöver för Ungdomsserien. Dock gjordes endast inköp för 2015.</t>
  </si>
  <si>
    <t>3177/4177</t>
  </si>
  <si>
    <t>Deltagaravgifterna faktureras klubbarna som själva avgör hur mycket de vill sponsra sina löpare.</t>
  </si>
  <si>
    <t>Grundprincipen har tidigare varit att Sommarläger inte skall vara en beräknad inkomst för Ungdomskommittén.</t>
  </si>
  <si>
    <t xml:space="preserve">GOF-gruppens träningar för 13-16 åringar bekostas av respektive arrangör. </t>
  </si>
  <si>
    <t>På 1-2 år sikt så har alla föreningar blivit belastade med ungefär samma kostnad.</t>
  </si>
  <si>
    <t>Vissa rader under Material/Övrigt samt raderna under dessa ingår inte i U-gruppens budgetäskande</t>
  </si>
  <si>
    <t>Pris till årets ungdom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</si>
</sst>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3"/>
      <color indexed="8"/>
      <name val="Arial"/>
      <family val="2"/>
    </font>
    <font>
      <b/>
      <u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b/>
      <sz val="11"/>
      <color indexed="54"/>
      <name val="Arial"/>
      <family val="2"/>
    </font>
    <font>
      <sz val="11"/>
      <color indexed="54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i/>
      <sz val="16"/>
      <color indexed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0"/>
      <color indexed="3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13"/>
      <name val="Arial"/>
      <family val="2"/>
    </font>
    <font>
      <sz val="10"/>
      <color indexed="12"/>
      <name val="Arial"/>
      <family val="2"/>
    </font>
    <font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16" fillId="0" borderId="0"/>
    <xf numFmtId="0" fontId="11" fillId="0" borderId="0"/>
  </cellStyleXfs>
  <cellXfs count="25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/>
    <xf numFmtId="0" fontId="0" fillId="0" borderId="0" xfId="0" applyAlignment="1">
      <alignment horizontal="left"/>
    </xf>
    <xf numFmtId="0" fontId="5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164" fontId="10" fillId="0" borderId="0" xfId="0" applyNumberFormat="1" applyFon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Border="1"/>
    <xf numFmtId="165" fontId="11" fillId="0" borderId="4" xfId="0" applyNumberFormat="1" applyFont="1" applyBorder="1" applyAlignment="1">
      <alignment horizontal="center"/>
    </xf>
    <xf numFmtId="164" fontId="0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/>
    <xf numFmtId="165" fontId="11" fillId="0" borderId="0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4" xfId="0" applyFont="1" applyBorder="1"/>
    <xf numFmtId="165" fontId="13" fillId="0" borderId="4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Font="1" applyBorder="1"/>
    <xf numFmtId="165" fontId="11" fillId="0" borderId="6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164" fontId="8" fillId="0" borderId="0" xfId="0" applyNumberFormat="1" applyFont="1" applyBorder="1"/>
    <xf numFmtId="165" fontId="2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0" fillId="0" borderId="0" xfId="0" applyFont="1" applyBorder="1"/>
    <xf numFmtId="0" fontId="8" fillId="0" borderId="0" xfId="0" applyFont="1"/>
    <xf numFmtId="165" fontId="6" fillId="0" borderId="0" xfId="0" applyNumberFormat="1" applyFont="1" applyBorder="1" applyAlignment="1">
      <alignment horizontal="center"/>
    </xf>
    <xf numFmtId="0" fontId="8" fillId="0" borderId="0" xfId="0" applyFont="1" applyBorder="1"/>
    <xf numFmtId="164" fontId="14" fillId="0" borderId="0" xfId="0" applyNumberFormat="1" applyFont="1" applyBorder="1"/>
    <xf numFmtId="164" fontId="15" fillId="0" borderId="0" xfId="0" applyNumberFormat="1" applyFont="1" applyBorder="1"/>
    <xf numFmtId="164" fontId="12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0" fillId="0" borderId="9" xfId="0" applyBorder="1"/>
    <xf numFmtId="165" fontId="2" fillId="0" borderId="9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65" fontId="9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10" fillId="0" borderId="0" xfId="0" applyNumberFormat="1" applyFont="1" applyBorder="1"/>
    <xf numFmtId="164" fontId="0" fillId="0" borderId="0" xfId="0" applyNumberFormat="1"/>
    <xf numFmtId="0" fontId="18" fillId="0" borderId="0" xfId="0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20" fillId="0" borderId="0" xfId="0" applyNumberFormat="1" applyFont="1" applyBorder="1"/>
    <xf numFmtId="0" fontId="19" fillId="0" borderId="0" xfId="0" applyFont="1" applyBorder="1" applyAlignment="1">
      <alignment horizontal="center"/>
    </xf>
    <xf numFmtId="0" fontId="21" fillId="0" borderId="0" xfId="0" applyFont="1" applyBorder="1"/>
    <xf numFmtId="0" fontId="20" fillId="0" borderId="0" xfId="0" applyFont="1" applyBorder="1"/>
    <xf numFmtId="0" fontId="19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3" borderId="0" xfId="0" applyFont="1" applyFill="1"/>
    <xf numFmtId="0" fontId="0" fillId="4" borderId="0" xfId="0" applyFont="1" applyFill="1"/>
    <xf numFmtId="0" fontId="0" fillId="4" borderId="0" xfId="0" applyFill="1"/>
    <xf numFmtId="0" fontId="24" fillId="0" borderId="0" xfId="0" applyFont="1"/>
    <xf numFmtId="0" fontId="27" fillId="5" borderId="13" xfId="0" applyFont="1" applyFill="1" applyBorder="1"/>
    <xf numFmtId="0" fontId="27" fillId="0" borderId="14" xfId="0" applyFont="1" applyBorder="1"/>
    <xf numFmtId="0" fontId="27" fillId="0" borderId="14" xfId="0" applyFont="1" applyBorder="1" applyAlignment="1">
      <alignment horizontal="center"/>
    </xf>
    <xf numFmtId="0" fontId="27" fillId="5" borderId="14" xfId="0" applyFont="1" applyFill="1" applyBorder="1"/>
    <xf numFmtId="0" fontId="0" fillId="4" borderId="15" xfId="0" applyFill="1" applyBorder="1"/>
    <xf numFmtId="0" fontId="0" fillId="5" borderId="16" xfId="0" applyFill="1" applyBorder="1"/>
    <xf numFmtId="0" fontId="0" fillId="0" borderId="17" xfId="0" applyBorder="1"/>
    <xf numFmtId="3" fontId="0" fillId="0" borderId="18" xfId="0" applyNumberFormat="1" applyBorder="1" applyAlignment="1">
      <alignment horizontal="center"/>
    </xf>
    <xf numFmtId="3" fontId="28" fillId="6" borderId="17" xfId="0" applyNumberFormat="1" applyFont="1" applyFill="1" applyBorder="1" applyAlignment="1">
      <alignment horizontal="center"/>
    </xf>
    <xf numFmtId="0" fontId="0" fillId="5" borderId="17" xfId="0" applyFont="1" applyFill="1" applyBorder="1"/>
    <xf numFmtId="0" fontId="0" fillId="0" borderId="17" xfId="0" applyFont="1" applyBorder="1"/>
    <xf numFmtId="3" fontId="0" fillId="0" borderId="17" xfId="0" applyNumberFormat="1" applyBorder="1" applyAlignment="1">
      <alignment horizontal="center"/>
    </xf>
    <xf numFmtId="3" fontId="0" fillId="6" borderId="17" xfId="0" applyNumberFormat="1" applyFill="1" applyBorder="1" applyAlignment="1">
      <alignment horizontal="center"/>
    </xf>
    <xf numFmtId="0" fontId="0" fillId="5" borderId="19" xfId="0" applyFill="1" applyBorder="1"/>
    <xf numFmtId="3" fontId="0" fillId="5" borderId="17" xfId="0" applyNumberFormat="1" applyFont="1" applyFill="1" applyBorder="1"/>
    <xf numFmtId="0" fontId="0" fillId="0" borderId="20" xfId="0" applyBorder="1"/>
    <xf numFmtId="3" fontId="0" fillId="0" borderId="20" xfId="0" applyNumberFormat="1" applyBorder="1" applyAlignment="1">
      <alignment horizontal="center"/>
    </xf>
    <xf numFmtId="3" fontId="0" fillId="5" borderId="20" xfId="0" applyNumberFormat="1" applyFont="1" applyFill="1" applyBorder="1"/>
    <xf numFmtId="0" fontId="0" fillId="5" borderId="20" xfId="0" applyFont="1" applyFill="1" applyBorder="1"/>
    <xf numFmtId="0" fontId="0" fillId="5" borderId="21" xfId="0" applyFill="1" applyBorder="1"/>
    <xf numFmtId="0" fontId="0" fillId="0" borderId="20" xfId="0" applyFont="1" applyBorder="1"/>
    <xf numFmtId="0" fontId="0" fillId="0" borderId="22" xfId="0" applyFont="1" applyBorder="1"/>
    <xf numFmtId="3" fontId="0" fillId="0" borderId="22" xfId="0" applyNumberFormat="1" applyBorder="1" applyAlignment="1">
      <alignment horizontal="center"/>
    </xf>
    <xf numFmtId="0" fontId="0" fillId="5" borderId="22" xfId="0" applyFont="1" applyFill="1" applyBorder="1"/>
    <xf numFmtId="3" fontId="0" fillId="4" borderId="15" xfId="0" applyNumberFormat="1" applyFill="1" applyBorder="1"/>
    <xf numFmtId="0" fontId="0" fillId="0" borderId="23" xfId="0" applyFont="1" applyFill="1" applyBorder="1"/>
    <xf numFmtId="3" fontId="0" fillId="0" borderId="0" xfId="0" applyNumberFormat="1" applyAlignment="1">
      <alignment horizontal="center"/>
    </xf>
    <xf numFmtId="3" fontId="0" fillId="0" borderId="15" xfId="0" applyNumberFormat="1" applyBorder="1"/>
    <xf numFmtId="3" fontId="0" fillId="4" borderId="0" xfId="0" applyNumberFormat="1" applyFill="1"/>
    <xf numFmtId="3" fontId="28" fillId="0" borderId="17" xfId="0" applyNumberFormat="1" applyFont="1" applyBorder="1" applyAlignment="1">
      <alignment horizontal="center"/>
    </xf>
    <xf numFmtId="0" fontId="29" fillId="5" borderId="17" xfId="0" applyFont="1" applyFill="1" applyBorder="1"/>
    <xf numFmtId="3" fontId="29" fillId="5" borderId="17" xfId="0" applyNumberFormat="1" applyFont="1" applyFill="1" applyBorder="1"/>
    <xf numFmtId="3" fontId="0" fillId="0" borderId="20" xfId="0" applyNumberFormat="1" applyFont="1" applyBorder="1" applyAlignment="1">
      <alignment horizontal="center"/>
    </xf>
    <xf numFmtId="0" fontId="29" fillId="5" borderId="20" xfId="0" applyFont="1" applyFill="1" applyBorder="1"/>
    <xf numFmtId="3" fontId="29" fillId="5" borderId="20" xfId="0" applyNumberFormat="1" applyFont="1" applyFill="1" applyBorder="1"/>
    <xf numFmtId="0" fontId="0" fillId="0" borderId="22" xfId="0" applyBorder="1"/>
    <xf numFmtId="0" fontId="29" fillId="5" borderId="22" xfId="0" applyFont="1" applyFill="1" applyBorder="1"/>
    <xf numFmtId="0" fontId="0" fillId="0" borderId="15" xfId="0" applyBorder="1"/>
    <xf numFmtId="0" fontId="0" fillId="0" borderId="17" xfId="0" applyBorder="1" applyAlignment="1">
      <alignment horizontal="center"/>
    </xf>
    <xf numFmtId="0" fontId="28" fillId="6" borderId="17" xfId="0" applyFont="1" applyFill="1" applyBorder="1" applyAlignment="1">
      <alignment horizontal="center"/>
    </xf>
    <xf numFmtId="0" fontId="3" fillId="0" borderId="20" xfId="0" applyFont="1" applyBorder="1"/>
    <xf numFmtId="0" fontId="0" fillId="0" borderId="20" xfId="0" applyBorder="1" applyAlignment="1">
      <alignment horizontal="center"/>
    </xf>
    <xf numFmtId="0" fontId="3" fillId="0" borderId="20" xfId="0" applyFont="1" applyFill="1" applyBorder="1"/>
    <xf numFmtId="0" fontId="0" fillId="5" borderId="20" xfId="0" applyFill="1" applyBorder="1"/>
    <xf numFmtId="0" fontId="0" fillId="5" borderId="24" xfId="0" applyFill="1" applyBorder="1"/>
    <xf numFmtId="0" fontId="0" fillId="0" borderId="25" xfId="0" applyFont="1" applyBorder="1"/>
    <xf numFmtId="0" fontId="0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9" fillId="5" borderId="25" xfId="0" applyFont="1" applyFill="1" applyBorder="1"/>
    <xf numFmtId="0" fontId="0" fillId="0" borderId="22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5" borderId="26" xfId="0" applyFill="1" applyBorder="1"/>
    <xf numFmtId="0" fontId="0" fillId="0" borderId="23" xfId="0" applyFont="1" applyBorder="1"/>
    <xf numFmtId="0" fontId="0" fillId="0" borderId="23" xfId="0" applyBorder="1" applyAlignment="1">
      <alignment horizontal="center"/>
    </xf>
    <xf numFmtId="3" fontId="0" fillId="0" borderId="0" xfId="0" applyNumberFormat="1"/>
    <xf numFmtId="3" fontId="0" fillId="3" borderId="0" xfId="0" applyNumberFormat="1" applyFont="1" applyFill="1"/>
    <xf numFmtId="164" fontId="6" fillId="0" borderId="4" xfId="0" applyNumberFormat="1" applyFont="1" applyBorder="1" applyAlignment="1">
      <alignment horizontal="center"/>
    </xf>
    <xf numFmtId="165" fontId="0" fillId="0" borderId="0" xfId="0" applyNumberFormat="1" applyBorder="1"/>
    <xf numFmtId="0" fontId="11" fillId="0" borderId="0" xfId="2"/>
    <xf numFmtId="0" fontId="23" fillId="0" borderId="0" xfId="2" applyFont="1" applyAlignment="1">
      <alignment horizontal="left"/>
    </xf>
    <xf numFmtId="0" fontId="11" fillId="0" borderId="0" xfId="2" applyAlignment="1">
      <alignment horizontal="center"/>
    </xf>
    <xf numFmtId="0" fontId="12" fillId="0" borderId="0" xfId="2" applyFont="1"/>
    <xf numFmtId="0" fontId="11" fillId="0" borderId="0" xfId="2" applyFont="1" applyAlignment="1">
      <alignment horizontal="left"/>
    </xf>
    <xf numFmtId="0" fontId="11" fillId="3" borderId="0" xfId="2" applyFont="1" applyFill="1"/>
    <xf numFmtId="0" fontId="11" fillId="4" borderId="0" xfId="2" applyFont="1" applyFill="1"/>
    <xf numFmtId="0" fontId="11" fillId="4" borderId="0" xfId="2" applyFill="1"/>
    <xf numFmtId="0" fontId="11" fillId="0" borderId="0" xfId="2" applyBorder="1"/>
    <xf numFmtId="0" fontId="24" fillId="0" borderId="0" xfId="2" applyFont="1"/>
    <xf numFmtId="0" fontId="27" fillId="5" borderId="13" xfId="2" applyFont="1" applyFill="1" applyBorder="1"/>
    <xf numFmtId="0" fontId="27" fillId="0" borderId="14" xfId="2" applyFont="1" applyBorder="1"/>
    <xf numFmtId="0" fontId="27" fillId="0" borderId="14" xfId="2" applyFont="1" applyBorder="1" applyAlignment="1">
      <alignment horizontal="center"/>
    </xf>
    <xf numFmtId="0" fontId="27" fillId="5" borderId="14" xfId="2" applyFont="1" applyFill="1" applyBorder="1"/>
    <xf numFmtId="0" fontId="27" fillId="7" borderId="14" xfId="2" applyFont="1" applyFill="1" applyBorder="1"/>
    <xf numFmtId="0" fontId="11" fillId="4" borderId="15" xfId="2" applyFill="1" applyBorder="1"/>
    <xf numFmtId="0" fontId="11" fillId="5" borderId="16" xfId="2" applyFill="1" applyBorder="1"/>
    <xf numFmtId="0" fontId="11" fillId="0" borderId="17" xfId="2" applyFont="1" applyBorder="1"/>
    <xf numFmtId="3" fontId="11" fillId="0" borderId="18" xfId="2" applyNumberFormat="1" applyBorder="1" applyAlignment="1">
      <alignment horizontal="center"/>
    </xf>
    <xf numFmtId="3" fontId="11" fillId="0" borderId="17" xfId="2" applyNumberFormat="1" applyBorder="1" applyAlignment="1">
      <alignment horizontal="center"/>
    </xf>
    <xf numFmtId="0" fontId="32" fillId="5" borderId="17" xfId="2" applyFont="1" applyFill="1" applyBorder="1"/>
    <xf numFmtId="3" fontId="11" fillId="7" borderId="17" xfId="2" applyNumberFormat="1" applyFill="1" applyBorder="1" applyAlignment="1">
      <alignment horizontal="center"/>
    </xf>
    <xf numFmtId="3" fontId="11" fillId="6" borderId="17" xfId="2" applyNumberFormat="1" applyFill="1" applyBorder="1" applyAlignment="1">
      <alignment horizontal="center"/>
    </xf>
    <xf numFmtId="0" fontId="11" fillId="7" borderId="17" xfId="2" applyFont="1" applyFill="1" applyBorder="1"/>
    <xf numFmtId="3" fontId="29" fillId="5" borderId="17" xfId="2" applyNumberFormat="1" applyFont="1" applyFill="1" applyBorder="1"/>
    <xf numFmtId="3" fontId="28" fillId="6" borderId="17" xfId="2" applyNumberFormat="1" applyFont="1" applyFill="1" applyBorder="1" applyAlignment="1">
      <alignment horizontal="center"/>
    </xf>
    <xf numFmtId="0" fontId="11" fillId="5" borderId="17" xfId="2" applyFont="1" applyFill="1" applyBorder="1"/>
    <xf numFmtId="0" fontId="11" fillId="0" borderId="17" xfId="2" applyBorder="1"/>
    <xf numFmtId="0" fontId="11" fillId="0" borderId="20" xfId="2" applyFont="1" applyBorder="1"/>
    <xf numFmtId="3" fontId="11" fillId="0" borderId="20" xfId="2" applyNumberFormat="1" applyBorder="1" applyAlignment="1">
      <alignment horizontal="center"/>
    </xf>
    <xf numFmtId="3" fontId="29" fillId="5" borderId="20" xfId="2" applyNumberFormat="1" applyFont="1" applyFill="1" applyBorder="1"/>
    <xf numFmtId="0" fontId="11" fillId="5" borderId="19" xfId="2" applyFill="1" applyBorder="1"/>
    <xf numFmtId="3" fontId="11" fillId="7" borderId="17" xfId="2" applyNumberFormat="1" applyFont="1" applyFill="1" applyBorder="1"/>
    <xf numFmtId="3" fontId="11" fillId="5" borderId="17" xfId="2" applyNumberFormat="1" applyFont="1" applyFill="1" applyBorder="1"/>
    <xf numFmtId="0" fontId="32" fillId="5" borderId="20" xfId="2" applyFont="1" applyFill="1" applyBorder="1"/>
    <xf numFmtId="0" fontId="11" fillId="7" borderId="20" xfId="2" applyFont="1" applyFill="1" applyBorder="1"/>
    <xf numFmtId="3" fontId="11" fillId="7" borderId="20" xfId="2" applyNumberFormat="1" applyFont="1" applyFill="1" applyBorder="1"/>
    <xf numFmtId="3" fontId="11" fillId="5" borderId="20" xfId="2" applyNumberFormat="1" applyFont="1" applyFill="1" applyBorder="1"/>
    <xf numFmtId="0" fontId="11" fillId="0" borderId="20" xfId="2" applyBorder="1"/>
    <xf numFmtId="3" fontId="11" fillId="0" borderId="20" xfId="2" applyNumberFormat="1" applyFill="1" applyBorder="1" applyAlignment="1">
      <alignment horizontal="center"/>
    </xf>
    <xf numFmtId="0" fontId="11" fillId="0" borderId="0" xfId="2" applyFill="1" applyAlignment="1">
      <alignment horizontal="center"/>
    </xf>
    <xf numFmtId="0" fontId="28" fillId="0" borderId="20" xfId="2" applyFont="1" applyBorder="1"/>
    <xf numFmtId="0" fontId="11" fillId="5" borderId="20" xfId="2" applyFont="1" applyFill="1" applyBorder="1"/>
    <xf numFmtId="0" fontId="11" fillId="5" borderId="21" xfId="2" applyFill="1" applyBorder="1"/>
    <xf numFmtId="0" fontId="11" fillId="0" borderId="23" xfId="2" applyFont="1" applyFill="1" applyBorder="1"/>
    <xf numFmtId="0" fontId="11" fillId="0" borderId="20" xfId="2" applyBorder="1" applyAlignment="1">
      <alignment horizontal="center"/>
    </xf>
    <xf numFmtId="0" fontId="29" fillId="5" borderId="25" xfId="2" applyFont="1" applyFill="1" applyBorder="1"/>
    <xf numFmtId="0" fontId="11" fillId="0" borderId="22" xfId="2" applyBorder="1"/>
    <xf numFmtId="3" fontId="11" fillId="0" borderId="22" xfId="2" applyNumberFormat="1" applyBorder="1" applyAlignment="1">
      <alignment horizontal="center"/>
    </xf>
    <xf numFmtId="0" fontId="32" fillId="5" borderId="22" xfId="2" applyFont="1" applyFill="1" applyBorder="1"/>
    <xf numFmtId="0" fontId="11" fillId="7" borderId="22" xfId="2" applyFont="1" applyFill="1" applyBorder="1"/>
    <xf numFmtId="0" fontId="11" fillId="5" borderId="22" xfId="2" applyFont="1" applyFill="1" applyBorder="1"/>
    <xf numFmtId="3" fontId="11" fillId="4" borderId="15" xfId="2" applyNumberFormat="1" applyFill="1" applyBorder="1"/>
    <xf numFmtId="0" fontId="11" fillId="0" borderId="22" xfId="2" applyFont="1" applyBorder="1"/>
    <xf numFmtId="0" fontId="11" fillId="0" borderId="0" xfId="2" applyFont="1"/>
    <xf numFmtId="3" fontId="11" fillId="0" borderId="15" xfId="2" applyNumberFormat="1" applyBorder="1"/>
    <xf numFmtId="3" fontId="11" fillId="7" borderId="15" xfId="2" applyNumberFormat="1" applyFill="1" applyBorder="1"/>
    <xf numFmtId="3" fontId="11" fillId="0" borderId="0" xfId="2" applyNumberFormat="1" applyAlignment="1">
      <alignment horizontal="center"/>
    </xf>
    <xf numFmtId="3" fontId="11" fillId="4" borderId="0" xfId="2" applyNumberFormat="1" applyFill="1"/>
    <xf numFmtId="0" fontId="11" fillId="6" borderId="0" xfId="2" applyFill="1"/>
    <xf numFmtId="0" fontId="11" fillId="6" borderId="0" xfId="2" applyFill="1" applyAlignment="1">
      <alignment horizontal="center"/>
    </xf>
    <xf numFmtId="3" fontId="11" fillId="6" borderId="15" xfId="2" applyNumberFormat="1" applyFill="1" applyBorder="1"/>
    <xf numFmtId="0" fontId="29" fillId="5" borderId="17" xfId="2" applyFont="1" applyFill="1" applyBorder="1"/>
    <xf numFmtId="3" fontId="28" fillId="0" borderId="17" xfId="2" applyNumberFormat="1" applyFont="1" applyBorder="1" applyAlignment="1">
      <alignment horizontal="center"/>
    </xf>
    <xf numFmtId="3" fontId="11" fillId="0" borderId="20" xfId="2" applyNumberFormat="1" applyFont="1" applyBorder="1" applyAlignment="1">
      <alignment horizontal="center"/>
    </xf>
    <xf numFmtId="0" fontId="29" fillId="5" borderId="20" xfId="2" applyFont="1" applyFill="1" applyBorder="1"/>
    <xf numFmtId="0" fontId="29" fillId="5" borderId="22" xfId="2" applyFont="1" applyFill="1" applyBorder="1"/>
    <xf numFmtId="0" fontId="11" fillId="0" borderId="15" xfId="2" applyBorder="1"/>
    <xf numFmtId="0" fontId="11" fillId="7" borderId="15" xfId="2" applyFill="1" applyBorder="1"/>
    <xf numFmtId="0" fontId="11" fillId="7" borderId="0" xfId="2" applyFill="1" applyBorder="1"/>
    <xf numFmtId="0" fontId="11" fillId="0" borderId="17" xfId="2" applyBorder="1" applyAlignment="1">
      <alignment horizontal="center"/>
    </xf>
    <xf numFmtId="0" fontId="11" fillId="7" borderId="17" xfId="2" applyFill="1" applyBorder="1" applyAlignment="1">
      <alignment horizontal="center"/>
    </xf>
    <xf numFmtId="0" fontId="11" fillId="6" borderId="17" xfId="2" applyFill="1" applyBorder="1" applyAlignment="1">
      <alignment horizontal="center"/>
    </xf>
    <xf numFmtId="0" fontId="28" fillId="0" borderId="0" xfId="2" applyFont="1"/>
    <xf numFmtId="0" fontId="28" fillId="6" borderId="17" xfId="2" applyFont="1" applyFill="1" applyBorder="1" applyAlignment="1">
      <alignment horizontal="center"/>
    </xf>
    <xf numFmtId="0" fontId="3" fillId="0" borderId="20" xfId="2" applyFont="1" applyBorder="1"/>
    <xf numFmtId="0" fontId="11" fillId="5" borderId="20" xfId="2" applyFill="1" applyBorder="1"/>
    <xf numFmtId="0" fontId="3" fillId="0" borderId="20" xfId="2" applyFont="1" applyFill="1" applyBorder="1"/>
    <xf numFmtId="0" fontId="11" fillId="5" borderId="24" xfId="2" applyFill="1" applyBorder="1"/>
    <xf numFmtId="0" fontId="11" fillId="0" borderId="25" xfId="2" applyBorder="1"/>
    <xf numFmtId="0" fontId="11" fillId="0" borderId="25" xfId="2" applyBorder="1" applyAlignment="1">
      <alignment horizontal="center"/>
    </xf>
    <xf numFmtId="0" fontId="32" fillId="5" borderId="25" xfId="2" applyFont="1" applyFill="1" applyBorder="1"/>
    <xf numFmtId="0" fontId="11" fillId="7" borderId="25" xfId="2" applyFont="1" applyFill="1" applyBorder="1"/>
    <xf numFmtId="0" fontId="11" fillId="0" borderId="25" xfId="2" applyFont="1" applyBorder="1"/>
    <xf numFmtId="0" fontId="11" fillId="0" borderId="25" xfId="2" applyFont="1" applyBorder="1" applyAlignment="1">
      <alignment horizontal="center"/>
    </xf>
    <xf numFmtId="0" fontId="11" fillId="0" borderId="22" xfId="2" applyBorder="1" applyAlignment="1">
      <alignment horizontal="center"/>
    </xf>
    <xf numFmtId="0" fontId="11" fillId="0" borderId="20" xfId="2" applyFont="1" applyBorder="1" applyAlignment="1">
      <alignment horizontal="center"/>
    </xf>
    <xf numFmtId="0" fontId="28" fillId="0" borderId="25" xfId="2" applyFont="1" applyBorder="1"/>
    <xf numFmtId="0" fontId="11" fillId="7" borderId="0" xfId="2" applyFill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5" borderId="0" xfId="2" applyFill="1" applyBorder="1"/>
    <xf numFmtId="0" fontId="11" fillId="0" borderId="0" xfId="2" applyBorder="1" applyAlignment="1">
      <alignment horizontal="center"/>
    </xf>
    <xf numFmtId="0" fontId="32" fillId="5" borderId="27" xfId="2" applyFont="1" applyFill="1" applyBorder="1"/>
    <xf numFmtId="0" fontId="11" fillId="7" borderId="27" xfId="2" applyFont="1" applyFill="1" applyBorder="1"/>
    <xf numFmtId="0" fontId="29" fillId="5" borderId="27" xfId="2" applyFont="1" applyFill="1" applyBorder="1"/>
    <xf numFmtId="0" fontId="11" fillId="5" borderId="26" xfId="2" applyFill="1" applyBorder="1"/>
    <xf numFmtId="0" fontId="11" fillId="0" borderId="23" xfId="2" applyFont="1" applyBorder="1"/>
    <xf numFmtId="0" fontId="11" fillId="0" borderId="23" xfId="2" applyBorder="1" applyAlignment="1">
      <alignment horizontal="center"/>
    </xf>
    <xf numFmtId="0" fontId="29" fillId="5" borderId="23" xfId="2" applyFont="1" applyFill="1" applyBorder="1"/>
    <xf numFmtId="0" fontId="33" fillId="0" borderId="0" xfId="2" applyFont="1"/>
    <xf numFmtId="3" fontId="11" fillId="0" borderId="0" xfId="2" applyNumberFormat="1"/>
    <xf numFmtId="0" fontId="0" fillId="0" borderId="0" xfId="0" quotePrefix="1" applyBorder="1"/>
    <xf numFmtId="166" fontId="13" fillId="0" borderId="4" xfId="0" applyNumberFormat="1" applyFont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0" fillId="0" borderId="25" xfId="0" applyBorder="1"/>
    <xf numFmtId="164" fontId="34" fillId="0" borderId="0" xfId="0" applyNumberFormat="1" applyFont="1" applyBorder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1</xdr:col>
          <xdr:colOff>514350</xdr:colOff>
          <xdr:row>3</xdr:row>
          <xdr:rowOff>257175</xdr:rowOff>
        </xdr:to>
        <xdr:sp macro="" textlink="">
          <xdr:nvSpPr>
            <xdr:cNvPr id="3073" name="Picture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workbookViewId="0">
      <selection activeCell="C12" sqref="C12"/>
    </sheetView>
  </sheetViews>
  <sheetFormatPr defaultColWidth="10" defaultRowHeight="15.75" x14ac:dyDescent="0.25"/>
  <cols>
    <col min="1" max="1" width="11.7109375" style="7" customWidth="1"/>
    <col min="2" max="2" width="39.7109375" customWidth="1"/>
    <col min="3" max="3" width="12.7109375" style="3" customWidth="1"/>
    <col min="4" max="4" width="10.85546875" style="4" customWidth="1"/>
    <col min="5" max="5" width="10.5703125" style="4" customWidth="1"/>
    <col min="6" max="7" width="6.85546875" customWidth="1"/>
    <col min="8" max="8" width="10.42578125" bestFit="1" customWidth="1"/>
    <col min="9" max="9" width="17.140625" customWidth="1"/>
    <col min="11" max="11" width="10" customWidth="1"/>
    <col min="257" max="257" width="12.5703125" customWidth="1"/>
    <col min="258" max="258" width="38.5703125" customWidth="1"/>
    <col min="259" max="259" width="12.7109375" customWidth="1"/>
    <col min="260" max="260" width="10.85546875" customWidth="1"/>
    <col min="261" max="261" width="10.5703125" customWidth="1"/>
    <col min="262" max="263" width="6.85546875" customWidth="1"/>
    <col min="264" max="264" width="6.28515625" customWidth="1"/>
    <col min="265" max="265" width="17.140625" customWidth="1"/>
    <col min="513" max="513" width="12.5703125" customWidth="1"/>
    <col min="514" max="514" width="38.5703125" customWidth="1"/>
    <col min="515" max="515" width="12.7109375" customWidth="1"/>
    <col min="516" max="516" width="10.85546875" customWidth="1"/>
    <col min="517" max="517" width="10.5703125" customWidth="1"/>
    <col min="518" max="519" width="6.85546875" customWidth="1"/>
    <col min="520" max="520" width="6.28515625" customWidth="1"/>
    <col min="521" max="521" width="17.140625" customWidth="1"/>
    <col min="769" max="769" width="12.5703125" customWidth="1"/>
    <col min="770" max="770" width="38.5703125" customWidth="1"/>
    <col min="771" max="771" width="12.7109375" customWidth="1"/>
    <col min="772" max="772" width="10.85546875" customWidth="1"/>
    <col min="773" max="773" width="10.5703125" customWidth="1"/>
    <col min="774" max="775" width="6.85546875" customWidth="1"/>
    <col min="776" max="776" width="6.28515625" customWidth="1"/>
    <col min="777" max="777" width="17.140625" customWidth="1"/>
    <col min="1025" max="1025" width="12.5703125" customWidth="1"/>
    <col min="1026" max="1026" width="38.5703125" customWidth="1"/>
    <col min="1027" max="1027" width="12.7109375" customWidth="1"/>
    <col min="1028" max="1028" width="10.85546875" customWidth="1"/>
    <col min="1029" max="1029" width="10.5703125" customWidth="1"/>
    <col min="1030" max="1031" width="6.85546875" customWidth="1"/>
    <col min="1032" max="1032" width="6.28515625" customWidth="1"/>
    <col min="1033" max="1033" width="17.140625" customWidth="1"/>
    <col min="1281" max="1281" width="12.5703125" customWidth="1"/>
    <col min="1282" max="1282" width="38.5703125" customWidth="1"/>
    <col min="1283" max="1283" width="12.7109375" customWidth="1"/>
    <col min="1284" max="1284" width="10.85546875" customWidth="1"/>
    <col min="1285" max="1285" width="10.5703125" customWidth="1"/>
    <col min="1286" max="1287" width="6.85546875" customWidth="1"/>
    <col min="1288" max="1288" width="6.28515625" customWidth="1"/>
    <col min="1289" max="1289" width="17.140625" customWidth="1"/>
    <col min="1537" max="1537" width="12.5703125" customWidth="1"/>
    <col min="1538" max="1538" width="38.5703125" customWidth="1"/>
    <col min="1539" max="1539" width="12.7109375" customWidth="1"/>
    <col min="1540" max="1540" width="10.85546875" customWidth="1"/>
    <col min="1541" max="1541" width="10.5703125" customWidth="1"/>
    <col min="1542" max="1543" width="6.85546875" customWidth="1"/>
    <col min="1544" max="1544" width="6.28515625" customWidth="1"/>
    <col min="1545" max="1545" width="17.140625" customWidth="1"/>
    <col min="1793" max="1793" width="12.5703125" customWidth="1"/>
    <col min="1794" max="1794" width="38.5703125" customWidth="1"/>
    <col min="1795" max="1795" width="12.7109375" customWidth="1"/>
    <col min="1796" max="1796" width="10.85546875" customWidth="1"/>
    <col min="1797" max="1797" width="10.5703125" customWidth="1"/>
    <col min="1798" max="1799" width="6.85546875" customWidth="1"/>
    <col min="1800" max="1800" width="6.28515625" customWidth="1"/>
    <col min="1801" max="1801" width="17.140625" customWidth="1"/>
    <col min="2049" max="2049" width="12.5703125" customWidth="1"/>
    <col min="2050" max="2050" width="38.5703125" customWidth="1"/>
    <col min="2051" max="2051" width="12.7109375" customWidth="1"/>
    <col min="2052" max="2052" width="10.85546875" customWidth="1"/>
    <col min="2053" max="2053" width="10.5703125" customWidth="1"/>
    <col min="2054" max="2055" width="6.85546875" customWidth="1"/>
    <col min="2056" max="2056" width="6.28515625" customWidth="1"/>
    <col min="2057" max="2057" width="17.140625" customWidth="1"/>
    <col min="2305" max="2305" width="12.5703125" customWidth="1"/>
    <col min="2306" max="2306" width="38.5703125" customWidth="1"/>
    <col min="2307" max="2307" width="12.7109375" customWidth="1"/>
    <col min="2308" max="2308" width="10.85546875" customWidth="1"/>
    <col min="2309" max="2309" width="10.5703125" customWidth="1"/>
    <col min="2310" max="2311" width="6.85546875" customWidth="1"/>
    <col min="2312" max="2312" width="6.28515625" customWidth="1"/>
    <col min="2313" max="2313" width="17.140625" customWidth="1"/>
    <col min="2561" max="2561" width="12.5703125" customWidth="1"/>
    <col min="2562" max="2562" width="38.5703125" customWidth="1"/>
    <col min="2563" max="2563" width="12.7109375" customWidth="1"/>
    <col min="2564" max="2564" width="10.85546875" customWidth="1"/>
    <col min="2565" max="2565" width="10.5703125" customWidth="1"/>
    <col min="2566" max="2567" width="6.85546875" customWidth="1"/>
    <col min="2568" max="2568" width="6.28515625" customWidth="1"/>
    <col min="2569" max="2569" width="17.140625" customWidth="1"/>
    <col min="2817" max="2817" width="12.5703125" customWidth="1"/>
    <col min="2818" max="2818" width="38.5703125" customWidth="1"/>
    <col min="2819" max="2819" width="12.7109375" customWidth="1"/>
    <col min="2820" max="2820" width="10.85546875" customWidth="1"/>
    <col min="2821" max="2821" width="10.5703125" customWidth="1"/>
    <col min="2822" max="2823" width="6.85546875" customWidth="1"/>
    <col min="2824" max="2824" width="6.28515625" customWidth="1"/>
    <col min="2825" max="2825" width="17.140625" customWidth="1"/>
    <col min="3073" max="3073" width="12.5703125" customWidth="1"/>
    <col min="3074" max="3074" width="38.5703125" customWidth="1"/>
    <col min="3075" max="3075" width="12.7109375" customWidth="1"/>
    <col min="3076" max="3076" width="10.85546875" customWidth="1"/>
    <col min="3077" max="3077" width="10.5703125" customWidth="1"/>
    <col min="3078" max="3079" width="6.85546875" customWidth="1"/>
    <col min="3080" max="3080" width="6.28515625" customWidth="1"/>
    <col min="3081" max="3081" width="17.140625" customWidth="1"/>
    <col min="3329" max="3329" width="12.5703125" customWidth="1"/>
    <col min="3330" max="3330" width="38.5703125" customWidth="1"/>
    <col min="3331" max="3331" width="12.7109375" customWidth="1"/>
    <col min="3332" max="3332" width="10.85546875" customWidth="1"/>
    <col min="3333" max="3333" width="10.5703125" customWidth="1"/>
    <col min="3334" max="3335" width="6.85546875" customWidth="1"/>
    <col min="3336" max="3336" width="6.28515625" customWidth="1"/>
    <col min="3337" max="3337" width="17.140625" customWidth="1"/>
    <col min="3585" max="3585" width="12.5703125" customWidth="1"/>
    <col min="3586" max="3586" width="38.5703125" customWidth="1"/>
    <col min="3587" max="3587" width="12.7109375" customWidth="1"/>
    <col min="3588" max="3588" width="10.85546875" customWidth="1"/>
    <col min="3589" max="3589" width="10.5703125" customWidth="1"/>
    <col min="3590" max="3591" width="6.85546875" customWidth="1"/>
    <col min="3592" max="3592" width="6.28515625" customWidth="1"/>
    <col min="3593" max="3593" width="17.140625" customWidth="1"/>
    <col min="3841" max="3841" width="12.5703125" customWidth="1"/>
    <col min="3842" max="3842" width="38.5703125" customWidth="1"/>
    <col min="3843" max="3843" width="12.7109375" customWidth="1"/>
    <col min="3844" max="3844" width="10.85546875" customWidth="1"/>
    <col min="3845" max="3845" width="10.5703125" customWidth="1"/>
    <col min="3846" max="3847" width="6.85546875" customWidth="1"/>
    <col min="3848" max="3848" width="6.28515625" customWidth="1"/>
    <col min="3849" max="3849" width="17.140625" customWidth="1"/>
    <col min="4097" max="4097" width="12.5703125" customWidth="1"/>
    <col min="4098" max="4098" width="38.5703125" customWidth="1"/>
    <col min="4099" max="4099" width="12.7109375" customWidth="1"/>
    <col min="4100" max="4100" width="10.85546875" customWidth="1"/>
    <col min="4101" max="4101" width="10.5703125" customWidth="1"/>
    <col min="4102" max="4103" width="6.85546875" customWidth="1"/>
    <col min="4104" max="4104" width="6.28515625" customWidth="1"/>
    <col min="4105" max="4105" width="17.140625" customWidth="1"/>
    <col min="4353" max="4353" width="12.5703125" customWidth="1"/>
    <col min="4354" max="4354" width="38.5703125" customWidth="1"/>
    <col min="4355" max="4355" width="12.7109375" customWidth="1"/>
    <col min="4356" max="4356" width="10.85546875" customWidth="1"/>
    <col min="4357" max="4357" width="10.5703125" customWidth="1"/>
    <col min="4358" max="4359" width="6.85546875" customWidth="1"/>
    <col min="4360" max="4360" width="6.28515625" customWidth="1"/>
    <col min="4361" max="4361" width="17.140625" customWidth="1"/>
    <col min="4609" max="4609" width="12.5703125" customWidth="1"/>
    <col min="4610" max="4610" width="38.5703125" customWidth="1"/>
    <col min="4611" max="4611" width="12.7109375" customWidth="1"/>
    <col min="4612" max="4612" width="10.85546875" customWidth="1"/>
    <col min="4613" max="4613" width="10.5703125" customWidth="1"/>
    <col min="4614" max="4615" width="6.85546875" customWidth="1"/>
    <col min="4616" max="4616" width="6.28515625" customWidth="1"/>
    <col min="4617" max="4617" width="17.140625" customWidth="1"/>
    <col min="4865" max="4865" width="12.5703125" customWidth="1"/>
    <col min="4866" max="4866" width="38.5703125" customWidth="1"/>
    <col min="4867" max="4867" width="12.7109375" customWidth="1"/>
    <col min="4868" max="4868" width="10.85546875" customWidth="1"/>
    <col min="4869" max="4869" width="10.5703125" customWidth="1"/>
    <col min="4870" max="4871" width="6.85546875" customWidth="1"/>
    <col min="4872" max="4872" width="6.28515625" customWidth="1"/>
    <col min="4873" max="4873" width="17.140625" customWidth="1"/>
    <col min="5121" max="5121" width="12.5703125" customWidth="1"/>
    <col min="5122" max="5122" width="38.5703125" customWidth="1"/>
    <col min="5123" max="5123" width="12.7109375" customWidth="1"/>
    <col min="5124" max="5124" width="10.85546875" customWidth="1"/>
    <col min="5125" max="5125" width="10.5703125" customWidth="1"/>
    <col min="5126" max="5127" width="6.85546875" customWidth="1"/>
    <col min="5128" max="5128" width="6.28515625" customWidth="1"/>
    <col min="5129" max="5129" width="17.140625" customWidth="1"/>
    <col min="5377" max="5377" width="12.5703125" customWidth="1"/>
    <col min="5378" max="5378" width="38.5703125" customWidth="1"/>
    <col min="5379" max="5379" width="12.7109375" customWidth="1"/>
    <col min="5380" max="5380" width="10.85546875" customWidth="1"/>
    <col min="5381" max="5381" width="10.5703125" customWidth="1"/>
    <col min="5382" max="5383" width="6.85546875" customWidth="1"/>
    <col min="5384" max="5384" width="6.28515625" customWidth="1"/>
    <col min="5385" max="5385" width="17.140625" customWidth="1"/>
    <col min="5633" max="5633" width="12.5703125" customWidth="1"/>
    <col min="5634" max="5634" width="38.5703125" customWidth="1"/>
    <col min="5635" max="5635" width="12.7109375" customWidth="1"/>
    <col min="5636" max="5636" width="10.85546875" customWidth="1"/>
    <col min="5637" max="5637" width="10.5703125" customWidth="1"/>
    <col min="5638" max="5639" width="6.85546875" customWidth="1"/>
    <col min="5640" max="5640" width="6.28515625" customWidth="1"/>
    <col min="5641" max="5641" width="17.140625" customWidth="1"/>
    <col min="5889" max="5889" width="12.5703125" customWidth="1"/>
    <col min="5890" max="5890" width="38.5703125" customWidth="1"/>
    <col min="5891" max="5891" width="12.7109375" customWidth="1"/>
    <col min="5892" max="5892" width="10.85546875" customWidth="1"/>
    <col min="5893" max="5893" width="10.5703125" customWidth="1"/>
    <col min="5894" max="5895" width="6.85546875" customWidth="1"/>
    <col min="5896" max="5896" width="6.28515625" customWidth="1"/>
    <col min="5897" max="5897" width="17.140625" customWidth="1"/>
    <col min="6145" max="6145" width="12.5703125" customWidth="1"/>
    <col min="6146" max="6146" width="38.5703125" customWidth="1"/>
    <col min="6147" max="6147" width="12.7109375" customWidth="1"/>
    <col min="6148" max="6148" width="10.85546875" customWidth="1"/>
    <col min="6149" max="6149" width="10.5703125" customWidth="1"/>
    <col min="6150" max="6151" width="6.85546875" customWidth="1"/>
    <col min="6152" max="6152" width="6.28515625" customWidth="1"/>
    <col min="6153" max="6153" width="17.140625" customWidth="1"/>
    <col min="6401" max="6401" width="12.5703125" customWidth="1"/>
    <col min="6402" max="6402" width="38.5703125" customWidth="1"/>
    <col min="6403" max="6403" width="12.7109375" customWidth="1"/>
    <col min="6404" max="6404" width="10.85546875" customWidth="1"/>
    <col min="6405" max="6405" width="10.5703125" customWidth="1"/>
    <col min="6406" max="6407" width="6.85546875" customWidth="1"/>
    <col min="6408" max="6408" width="6.28515625" customWidth="1"/>
    <col min="6409" max="6409" width="17.140625" customWidth="1"/>
    <col min="6657" max="6657" width="12.5703125" customWidth="1"/>
    <col min="6658" max="6658" width="38.5703125" customWidth="1"/>
    <col min="6659" max="6659" width="12.7109375" customWidth="1"/>
    <col min="6660" max="6660" width="10.85546875" customWidth="1"/>
    <col min="6661" max="6661" width="10.5703125" customWidth="1"/>
    <col min="6662" max="6663" width="6.85546875" customWidth="1"/>
    <col min="6664" max="6664" width="6.28515625" customWidth="1"/>
    <col min="6665" max="6665" width="17.140625" customWidth="1"/>
    <col min="6913" max="6913" width="12.5703125" customWidth="1"/>
    <col min="6914" max="6914" width="38.5703125" customWidth="1"/>
    <col min="6915" max="6915" width="12.7109375" customWidth="1"/>
    <col min="6916" max="6916" width="10.85546875" customWidth="1"/>
    <col min="6917" max="6917" width="10.5703125" customWidth="1"/>
    <col min="6918" max="6919" width="6.85546875" customWidth="1"/>
    <col min="6920" max="6920" width="6.28515625" customWidth="1"/>
    <col min="6921" max="6921" width="17.140625" customWidth="1"/>
    <col min="7169" max="7169" width="12.5703125" customWidth="1"/>
    <col min="7170" max="7170" width="38.5703125" customWidth="1"/>
    <col min="7171" max="7171" width="12.7109375" customWidth="1"/>
    <col min="7172" max="7172" width="10.85546875" customWidth="1"/>
    <col min="7173" max="7173" width="10.5703125" customWidth="1"/>
    <col min="7174" max="7175" width="6.85546875" customWidth="1"/>
    <col min="7176" max="7176" width="6.28515625" customWidth="1"/>
    <col min="7177" max="7177" width="17.140625" customWidth="1"/>
    <col min="7425" max="7425" width="12.5703125" customWidth="1"/>
    <col min="7426" max="7426" width="38.5703125" customWidth="1"/>
    <col min="7427" max="7427" width="12.7109375" customWidth="1"/>
    <col min="7428" max="7428" width="10.85546875" customWidth="1"/>
    <col min="7429" max="7429" width="10.5703125" customWidth="1"/>
    <col min="7430" max="7431" width="6.85546875" customWidth="1"/>
    <col min="7432" max="7432" width="6.28515625" customWidth="1"/>
    <col min="7433" max="7433" width="17.140625" customWidth="1"/>
    <col min="7681" max="7681" width="12.5703125" customWidth="1"/>
    <col min="7682" max="7682" width="38.5703125" customWidth="1"/>
    <col min="7683" max="7683" width="12.7109375" customWidth="1"/>
    <col min="7684" max="7684" width="10.85546875" customWidth="1"/>
    <col min="7685" max="7685" width="10.5703125" customWidth="1"/>
    <col min="7686" max="7687" width="6.85546875" customWidth="1"/>
    <col min="7688" max="7688" width="6.28515625" customWidth="1"/>
    <col min="7689" max="7689" width="17.140625" customWidth="1"/>
    <col min="7937" max="7937" width="12.5703125" customWidth="1"/>
    <col min="7938" max="7938" width="38.5703125" customWidth="1"/>
    <col min="7939" max="7939" width="12.7109375" customWidth="1"/>
    <col min="7940" max="7940" width="10.85546875" customWidth="1"/>
    <col min="7941" max="7941" width="10.5703125" customWidth="1"/>
    <col min="7942" max="7943" width="6.85546875" customWidth="1"/>
    <col min="7944" max="7944" width="6.28515625" customWidth="1"/>
    <col min="7945" max="7945" width="17.140625" customWidth="1"/>
    <col min="8193" max="8193" width="12.5703125" customWidth="1"/>
    <col min="8194" max="8194" width="38.5703125" customWidth="1"/>
    <col min="8195" max="8195" width="12.7109375" customWidth="1"/>
    <col min="8196" max="8196" width="10.85546875" customWidth="1"/>
    <col min="8197" max="8197" width="10.5703125" customWidth="1"/>
    <col min="8198" max="8199" width="6.85546875" customWidth="1"/>
    <col min="8200" max="8200" width="6.28515625" customWidth="1"/>
    <col min="8201" max="8201" width="17.140625" customWidth="1"/>
    <col min="8449" max="8449" width="12.5703125" customWidth="1"/>
    <col min="8450" max="8450" width="38.5703125" customWidth="1"/>
    <col min="8451" max="8451" width="12.7109375" customWidth="1"/>
    <col min="8452" max="8452" width="10.85546875" customWidth="1"/>
    <col min="8453" max="8453" width="10.5703125" customWidth="1"/>
    <col min="8454" max="8455" width="6.85546875" customWidth="1"/>
    <col min="8456" max="8456" width="6.28515625" customWidth="1"/>
    <col min="8457" max="8457" width="17.140625" customWidth="1"/>
    <col min="8705" max="8705" width="12.5703125" customWidth="1"/>
    <col min="8706" max="8706" width="38.5703125" customWidth="1"/>
    <col min="8707" max="8707" width="12.7109375" customWidth="1"/>
    <col min="8708" max="8708" width="10.85546875" customWidth="1"/>
    <col min="8709" max="8709" width="10.5703125" customWidth="1"/>
    <col min="8710" max="8711" width="6.85546875" customWidth="1"/>
    <col min="8712" max="8712" width="6.28515625" customWidth="1"/>
    <col min="8713" max="8713" width="17.140625" customWidth="1"/>
    <col min="8961" max="8961" width="12.5703125" customWidth="1"/>
    <col min="8962" max="8962" width="38.5703125" customWidth="1"/>
    <col min="8963" max="8963" width="12.7109375" customWidth="1"/>
    <col min="8964" max="8964" width="10.85546875" customWidth="1"/>
    <col min="8965" max="8965" width="10.5703125" customWidth="1"/>
    <col min="8966" max="8967" width="6.85546875" customWidth="1"/>
    <col min="8968" max="8968" width="6.28515625" customWidth="1"/>
    <col min="8969" max="8969" width="17.140625" customWidth="1"/>
    <col min="9217" max="9217" width="12.5703125" customWidth="1"/>
    <col min="9218" max="9218" width="38.5703125" customWidth="1"/>
    <col min="9219" max="9219" width="12.7109375" customWidth="1"/>
    <col min="9220" max="9220" width="10.85546875" customWidth="1"/>
    <col min="9221" max="9221" width="10.5703125" customWidth="1"/>
    <col min="9222" max="9223" width="6.85546875" customWidth="1"/>
    <col min="9224" max="9224" width="6.28515625" customWidth="1"/>
    <col min="9225" max="9225" width="17.140625" customWidth="1"/>
    <col min="9473" max="9473" width="12.5703125" customWidth="1"/>
    <col min="9474" max="9474" width="38.5703125" customWidth="1"/>
    <col min="9475" max="9475" width="12.7109375" customWidth="1"/>
    <col min="9476" max="9476" width="10.85546875" customWidth="1"/>
    <col min="9477" max="9477" width="10.5703125" customWidth="1"/>
    <col min="9478" max="9479" width="6.85546875" customWidth="1"/>
    <col min="9480" max="9480" width="6.28515625" customWidth="1"/>
    <col min="9481" max="9481" width="17.140625" customWidth="1"/>
    <col min="9729" max="9729" width="12.5703125" customWidth="1"/>
    <col min="9730" max="9730" width="38.5703125" customWidth="1"/>
    <col min="9731" max="9731" width="12.7109375" customWidth="1"/>
    <col min="9732" max="9732" width="10.85546875" customWidth="1"/>
    <col min="9733" max="9733" width="10.5703125" customWidth="1"/>
    <col min="9734" max="9735" width="6.85546875" customWidth="1"/>
    <col min="9736" max="9736" width="6.28515625" customWidth="1"/>
    <col min="9737" max="9737" width="17.140625" customWidth="1"/>
    <col min="9985" max="9985" width="12.5703125" customWidth="1"/>
    <col min="9986" max="9986" width="38.5703125" customWidth="1"/>
    <col min="9987" max="9987" width="12.7109375" customWidth="1"/>
    <col min="9988" max="9988" width="10.85546875" customWidth="1"/>
    <col min="9989" max="9989" width="10.5703125" customWidth="1"/>
    <col min="9990" max="9991" width="6.85546875" customWidth="1"/>
    <col min="9992" max="9992" width="6.28515625" customWidth="1"/>
    <col min="9993" max="9993" width="17.140625" customWidth="1"/>
    <col min="10241" max="10241" width="12.5703125" customWidth="1"/>
    <col min="10242" max="10242" width="38.5703125" customWidth="1"/>
    <col min="10243" max="10243" width="12.7109375" customWidth="1"/>
    <col min="10244" max="10244" width="10.85546875" customWidth="1"/>
    <col min="10245" max="10245" width="10.5703125" customWidth="1"/>
    <col min="10246" max="10247" width="6.85546875" customWidth="1"/>
    <col min="10248" max="10248" width="6.28515625" customWidth="1"/>
    <col min="10249" max="10249" width="17.140625" customWidth="1"/>
    <col min="10497" max="10497" width="12.5703125" customWidth="1"/>
    <col min="10498" max="10498" width="38.5703125" customWidth="1"/>
    <col min="10499" max="10499" width="12.7109375" customWidth="1"/>
    <col min="10500" max="10500" width="10.85546875" customWidth="1"/>
    <col min="10501" max="10501" width="10.5703125" customWidth="1"/>
    <col min="10502" max="10503" width="6.85546875" customWidth="1"/>
    <col min="10504" max="10504" width="6.28515625" customWidth="1"/>
    <col min="10505" max="10505" width="17.140625" customWidth="1"/>
    <col min="10753" max="10753" width="12.5703125" customWidth="1"/>
    <col min="10754" max="10754" width="38.5703125" customWidth="1"/>
    <col min="10755" max="10755" width="12.7109375" customWidth="1"/>
    <col min="10756" max="10756" width="10.85546875" customWidth="1"/>
    <col min="10757" max="10757" width="10.5703125" customWidth="1"/>
    <col min="10758" max="10759" width="6.85546875" customWidth="1"/>
    <col min="10760" max="10760" width="6.28515625" customWidth="1"/>
    <col min="10761" max="10761" width="17.140625" customWidth="1"/>
    <col min="11009" max="11009" width="12.5703125" customWidth="1"/>
    <col min="11010" max="11010" width="38.5703125" customWidth="1"/>
    <col min="11011" max="11011" width="12.7109375" customWidth="1"/>
    <col min="11012" max="11012" width="10.85546875" customWidth="1"/>
    <col min="11013" max="11013" width="10.5703125" customWidth="1"/>
    <col min="11014" max="11015" width="6.85546875" customWidth="1"/>
    <col min="11016" max="11016" width="6.28515625" customWidth="1"/>
    <col min="11017" max="11017" width="17.140625" customWidth="1"/>
    <col min="11265" max="11265" width="12.5703125" customWidth="1"/>
    <col min="11266" max="11266" width="38.5703125" customWidth="1"/>
    <col min="11267" max="11267" width="12.7109375" customWidth="1"/>
    <col min="11268" max="11268" width="10.85546875" customWidth="1"/>
    <col min="11269" max="11269" width="10.5703125" customWidth="1"/>
    <col min="11270" max="11271" width="6.85546875" customWidth="1"/>
    <col min="11272" max="11272" width="6.28515625" customWidth="1"/>
    <col min="11273" max="11273" width="17.140625" customWidth="1"/>
    <col min="11521" max="11521" width="12.5703125" customWidth="1"/>
    <col min="11522" max="11522" width="38.5703125" customWidth="1"/>
    <col min="11523" max="11523" width="12.7109375" customWidth="1"/>
    <col min="11524" max="11524" width="10.85546875" customWidth="1"/>
    <col min="11525" max="11525" width="10.5703125" customWidth="1"/>
    <col min="11526" max="11527" width="6.85546875" customWidth="1"/>
    <col min="11528" max="11528" width="6.28515625" customWidth="1"/>
    <col min="11529" max="11529" width="17.140625" customWidth="1"/>
    <col min="11777" max="11777" width="12.5703125" customWidth="1"/>
    <col min="11778" max="11778" width="38.5703125" customWidth="1"/>
    <col min="11779" max="11779" width="12.7109375" customWidth="1"/>
    <col min="11780" max="11780" width="10.85546875" customWidth="1"/>
    <col min="11781" max="11781" width="10.5703125" customWidth="1"/>
    <col min="11782" max="11783" width="6.85546875" customWidth="1"/>
    <col min="11784" max="11784" width="6.28515625" customWidth="1"/>
    <col min="11785" max="11785" width="17.140625" customWidth="1"/>
    <col min="12033" max="12033" width="12.5703125" customWidth="1"/>
    <col min="12034" max="12034" width="38.5703125" customWidth="1"/>
    <col min="12035" max="12035" width="12.7109375" customWidth="1"/>
    <col min="12036" max="12036" width="10.85546875" customWidth="1"/>
    <col min="12037" max="12037" width="10.5703125" customWidth="1"/>
    <col min="12038" max="12039" width="6.85546875" customWidth="1"/>
    <col min="12040" max="12040" width="6.28515625" customWidth="1"/>
    <col min="12041" max="12041" width="17.140625" customWidth="1"/>
    <col min="12289" max="12289" width="12.5703125" customWidth="1"/>
    <col min="12290" max="12290" width="38.5703125" customWidth="1"/>
    <col min="12291" max="12291" width="12.7109375" customWidth="1"/>
    <col min="12292" max="12292" width="10.85546875" customWidth="1"/>
    <col min="12293" max="12293" width="10.5703125" customWidth="1"/>
    <col min="12294" max="12295" width="6.85546875" customWidth="1"/>
    <col min="12296" max="12296" width="6.28515625" customWidth="1"/>
    <col min="12297" max="12297" width="17.140625" customWidth="1"/>
    <col min="12545" max="12545" width="12.5703125" customWidth="1"/>
    <col min="12546" max="12546" width="38.5703125" customWidth="1"/>
    <col min="12547" max="12547" width="12.7109375" customWidth="1"/>
    <col min="12548" max="12548" width="10.85546875" customWidth="1"/>
    <col min="12549" max="12549" width="10.5703125" customWidth="1"/>
    <col min="12550" max="12551" width="6.85546875" customWidth="1"/>
    <col min="12552" max="12552" width="6.28515625" customWidth="1"/>
    <col min="12553" max="12553" width="17.140625" customWidth="1"/>
    <col min="12801" max="12801" width="12.5703125" customWidth="1"/>
    <col min="12802" max="12802" width="38.5703125" customWidth="1"/>
    <col min="12803" max="12803" width="12.7109375" customWidth="1"/>
    <col min="12804" max="12804" width="10.85546875" customWidth="1"/>
    <col min="12805" max="12805" width="10.5703125" customWidth="1"/>
    <col min="12806" max="12807" width="6.85546875" customWidth="1"/>
    <col min="12808" max="12808" width="6.28515625" customWidth="1"/>
    <col min="12809" max="12809" width="17.140625" customWidth="1"/>
    <col min="13057" max="13057" width="12.5703125" customWidth="1"/>
    <col min="13058" max="13058" width="38.5703125" customWidth="1"/>
    <col min="13059" max="13059" width="12.7109375" customWidth="1"/>
    <col min="13060" max="13060" width="10.85546875" customWidth="1"/>
    <col min="13061" max="13061" width="10.5703125" customWidth="1"/>
    <col min="13062" max="13063" width="6.85546875" customWidth="1"/>
    <col min="13064" max="13064" width="6.28515625" customWidth="1"/>
    <col min="13065" max="13065" width="17.140625" customWidth="1"/>
    <col min="13313" max="13313" width="12.5703125" customWidth="1"/>
    <col min="13314" max="13314" width="38.5703125" customWidth="1"/>
    <col min="13315" max="13315" width="12.7109375" customWidth="1"/>
    <col min="13316" max="13316" width="10.85546875" customWidth="1"/>
    <col min="13317" max="13317" width="10.5703125" customWidth="1"/>
    <col min="13318" max="13319" width="6.85546875" customWidth="1"/>
    <col min="13320" max="13320" width="6.28515625" customWidth="1"/>
    <col min="13321" max="13321" width="17.140625" customWidth="1"/>
    <col min="13569" max="13569" width="12.5703125" customWidth="1"/>
    <col min="13570" max="13570" width="38.5703125" customWidth="1"/>
    <col min="13571" max="13571" width="12.7109375" customWidth="1"/>
    <col min="13572" max="13572" width="10.85546875" customWidth="1"/>
    <col min="13573" max="13573" width="10.5703125" customWidth="1"/>
    <col min="13574" max="13575" width="6.85546875" customWidth="1"/>
    <col min="13576" max="13576" width="6.28515625" customWidth="1"/>
    <col min="13577" max="13577" width="17.140625" customWidth="1"/>
    <col min="13825" max="13825" width="12.5703125" customWidth="1"/>
    <col min="13826" max="13826" width="38.5703125" customWidth="1"/>
    <col min="13827" max="13827" width="12.7109375" customWidth="1"/>
    <col min="13828" max="13828" width="10.85546875" customWidth="1"/>
    <col min="13829" max="13829" width="10.5703125" customWidth="1"/>
    <col min="13830" max="13831" width="6.85546875" customWidth="1"/>
    <col min="13832" max="13832" width="6.28515625" customWidth="1"/>
    <col min="13833" max="13833" width="17.140625" customWidth="1"/>
    <col min="14081" max="14081" width="12.5703125" customWidth="1"/>
    <col min="14082" max="14082" width="38.5703125" customWidth="1"/>
    <col min="14083" max="14083" width="12.7109375" customWidth="1"/>
    <col min="14084" max="14084" width="10.85546875" customWidth="1"/>
    <col min="14085" max="14085" width="10.5703125" customWidth="1"/>
    <col min="14086" max="14087" width="6.85546875" customWidth="1"/>
    <col min="14088" max="14088" width="6.28515625" customWidth="1"/>
    <col min="14089" max="14089" width="17.140625" customWidth="1"/>
    <col min="14337" max="14337" width="12.5703125" customWidth="1"/>
    <col min="14338" max="14338" width="38.5703125" customWidth="1"/>
    <col min="14339" max="14339" width="12.7109375" customWidth="1"/>
    <col min="14340" max="14340" width="10.85546875" customWidth="1"/>
    <col min="14341" max="14341" width="10.5703125" customWidth="1"/>
    <col min="14342" max="14343" width="6.85546875" customWidth="1"/>
    <col min="14344" max="14344" width="6.28515625" customWidth="1"/>
    <col min="14345" max="14345" width="17.140625" customWidth="1"/>
    <col min="14593" max="14593" width="12.5703125" customWidth="1"/>
    <col min="14594" max="14594" width="38.5703125" customWidth="1"/>
    <col min="14595" max="14595" width="12.7109375" customWidth="1"/>
    <col min="14596" max="14596" width="10.85546875" customWidth="1"/>
    <col min="14597" max="14597" width="10.5703125" customWidth="1"/>
    <col min="14598" max="14599" width="6.85546875" customWidth="1"/>
    <col min="14600" max="14600" width="6.28515625" customWidth="1"/>
    <col min="14601" max="14601" width="17.140625" customWidth="1"/>
    <col min="14849" max="14849" width="12.5703125" customWidth="1"/>
    <col min="14850" max="14850" width="38.5703125" customWidth="1"/>
    <col min="14851" max="14851" width="12.7109375" customWidth="1"/>
    <col min="14852" max="14852" width="10.85546875" customWidth="1"/>
    <col min="14853" max="14853" width="10.5703125" customWidth="1"/>
    <col min="14854" max="14855" width="6.85546875" customWidth="1"/>
    <col min="14856" max="14856" width="6.28515625" customWidth="1"/>
    <col min="14857" max="14857" width="17.140625" customWidth="1"/>
    <col min="15105" max="15105" width="12.5703125" customWidth="1"/>
    <col min="15106" max="15106" width="38.5703125" customWidth="1"/>
    <col min="15107" max="15107" width="12.7109375" customWidth="1"/>
    <col min="15108" max="15108" width="10.85546875" customWidth="1"/>
    <col min="15109" max="15109" width="10.5703125" customWidth="1"/>
    <col min="15110" max="15111" width="6.85546875" customWidth="1"/>
    <col min="15112" max="15112" width="6.28515625" customWidth="1"/>
    <col min="15113" max="15113" width="17.140625" customWidth="1"/>
    <col min="15361" max="15361" width="12.5703125" customWidth="1"/>
    <col min="15362" max="15362" width="38.5703125" customWidth="1"/>
    <col min="15363" max="15363" width="12.7109375" customWidth="1"/>
    <col min="15364" max="15364" width="10.85546875" customWidth="1"/>
    <col min="15365" max="15365" width="10.5703125" customWidth="1"/>
    <col min="15366" max="15367" width="6.85546875" customWidth="1"/>
    <col min="15368" max="15368" width="6.28515625" customWidth="1"/>
    <col min="15369" max="15369" width="17.140625" customWidth="1"/>
    <col min="15617" max="15617" width="12.5703125" customWidth="1"/>
    <col min="15618" max="15618" width="38.5703125" customWidth="1"/>
    <col min="15619" max="15619" width="12.7109375" customWidth="1"/>
    <col min="15620" max="15620" width="10.85546875" customWidth="1"/>
    <col min="15621" max="15621" width="10.5703125" customWidth="1"/>
    <col min="15622" max="15623" width="6.85546875" customWidth="1"/>
    <col min="15624" max="15624" width="6.28515625" customWidth="1"/>
    <col min="15625" max="15625" width="17.140625" customWidth="1"/>
    <col min="15873" max="15873" width="12.5703125" customWidth="1"/>
    <col min="15874" max="15874" width="38.5703125" customWidth="1"/>
    <col min="15875" max="15875" width="12.7109375" customWidth="1"/>
    <col min="15876" max="15876" width="10.85546875" customWidth="1"/>
    <col min="15877" max="15877" width="10.5703125" customWidth="1"/>
    <col min="15878" max="15879" width="6.85546875" customWidth="1"/>
    <col min="15880" max="15880" width="6.28515625" customWidth="1"/>
    <col min="15881" max="15881" width="17.140625" customWidth="1"/>
    <col min="16129" max="16129" width="12.5703125" customWidth="1"/>
    <col min="16130" max="16130" width="38.5703125" customWidth="1"/>
    <col min="16131" max="16131" width="12.7109375" customWidth="1"/>
    <col min="16132" max="16132" width="10.85546875" customWidth="1"/>
    <col min="16133" max="16133" width="10.5703125" customWidth="1"/>
    <col min="16134" max="16135" width="6.85546875" customWidth="1"/>
    <col min="16136" max="16136" width="6.28515625" customWidth="1"/>
    <col min="16137" max="16137" width="17.140625" customWidth="1"/>
  </cols>
  <sheetData>
    <row r="1" spans="1:15" ht="20.25" x14ac:dyDescent="0.3">
      <c r="A1" s="1" t="s">
        <v>28</v>
      </c>
      <c r="B1" s="2"/>
      <c r="G1" s="2"/>
      <c r="H1" s="2"/>
      <c r="I1" s="2"/>
      <c r="J1" s="2"/>
      <c r="K1" s="2"/>
      <c r="L1" s="2"/>
      <c r="M1" s="2"/>
      <c r="N1" s="2"/>
      <c r="O1" s="2"/>
    </row>
    <row r="2" spans="1:15" ht="27" customHeight="1" x14ac:dyDescent="0.25">
      <c r="A2" s="5" t="s">
        <v>0</v>
      </c>
      <c r="B2" s="6" t="s">
        <v>10</v>
      </c>
      <c r="F2" s="2"/>
      <c r="G2" s="2"/>
      <c r="H2" s="2" t="s">
        <v>40</v>
      </c>
      <c r="I2" s="2"/>
      <c r="J2" s="2"/>
      <c r="K2" s="2"/>
      <c r="L2" s="2"/>
      <c r="M2" s="2"/>
      <c r="N2" s="2"/>
      <c r="O2" s="2"/>
    </row>
    <row r="3" spans="1:15" ht="18.95" customHeight="1" x14ac:dyDescent="0.25">
      <c r="B3" s="8"/>
      <c r="C3" s="3" t="s">
        <v>1</v>
      </c>
      <c r="D3" s="9" t="s">
        <v>2</v>
      </c>
      <c r="E3" s="10" t="s">
        <v>1</v>
      </c>
      <c r="F3" s="11"/>
      <c r="G3" s="12"/>
      <c r="H3" s="3" t="s">
        <v>1</v>
      </c>
      <c r="I3" s="9" t="s">
        <v>2</v>
      </c>
      <c r="J3" s="10" t="s">
        <v>1</v>
      </c>
      <c r="K3" s="13"/>
      <c r="L3" s="13"/>
      <c r="M3" s="2"/>
      <c r="N3" s="2"/>
      <c r="O3" s="2"/>
    </row>
    <row r="4" spans="1:15" ht="15" customHeight="1" thickBot="1" x14ac:dyDescent="0.3">
      <c r="A4" s="14" t="s">
        <v>3</v>
      </c>
      <c r="B4" s="2"/>
      <c r="C4" s="3">
        <v>2016</v>
      </c>
      <c r="D4" s="15">
        <v>2015</v>
      </c>
      <c r="E4" s="15">
        <v>2015</v>
      </c>
      <c r="F4" s="16"/>
      <c r="G4" s="17"/>
      <c r="H4" s="3">
        <v>2016</v>
      </c>
      <c r="I4" s="15">
        <v>2015</v>
      </c>
      <c r="J4" s="15">
        <v>2015</v>
      </c>
      <c r="K4" s="13"/>
      <c r="L4" s="13"/>
      <c r="M4" s="2"/>
      <c r="N4" s="2"/>
      <c r="O4" s="2"/>
    </row>
    <row r="5" spans="1:15" x14ac:dyDescent="0.25">
      <c r="A5" s="19">
        <v>3171</v>
      </c>
      <c r="B5" s="20" t="s">
        <v>11</v>
      </c>
      <c r="C5" s="73">
        <v>31.9</v>
      </c>
      <c r="D5" s="75">
        <v>22.04</v>
      </c>
      <c r="E5" s="248">
        <v>21.96</v>
      </c>
      <c r="F5" s="16"/>
      <c r="G5" s="17"/>
      <c r="H5" s="145">
        <f>C5-C27</f>
        <v>-3.8999999999999986</v>
      </c>
      <c r="I5" s="145">
        <f>D5-D27</f>
        <v>-4</v>
      </c>
      <c r="J5" s="145">
        <f>E5-E27</f>
        <v>-3.9199999999999982</v>
      </c>
      <c r="K5" s="10"/>
      <c r="L5" s="10"/>
      <c r="M5" s="2"/>
      <c r="N5" s="2"/>
      <c r="O5" s="2"/>
    </row>
    <row r="6" spans="1:15" s="28" customFormat="1" x14ac:dyDescent="0.25">
      <c r="A6" s="76">
        <v>3172</v>
      </c>
      <c r="B6" s="77" t="s">
        <v>12</v>
      </c>
      <c r="C6" s="73">
        <v>66</v>
      </c>
      <c r="D6" s="78">
        <v>60.713999999999999</v>
      </c>
      <c r="E6" s="248">
        <v>69</v>
      </c>
      <c r="F6" s="16"/>
      <c r="G6" s="25"/>
      <c r="H6" s="145">
        <f>C6-C28</f>
        <v>-8.4000000000000057</v>
      </c>
      <c r="I6" s="145">
        <f>D6-D28</f>
        <v>-7</v>
      </c>
      <c r="J6" s="145">
        <f>E6-E28</f>
        <v>-6.9000000000000057</v>
      </c>
      <c r="K6" s="15"/>
      <c r="L6" s="15"/>
      <c r="M6" s="27"/>
      <c r="N6" s="27"/>
      <c r="O6" s="27"/>
    </row>
    <row r="7" spans="1:15" s="28" customFormat="1" x14ac:dyDescent="0.25">
      <c r="A7" s="22">
        <v>3173</v>
      </c>
      <c r="B7" s="23" t="s">
        <v>13</v>
      </c>
      <c r="C7" s="73">
        <v>36.799999999999997</v>
      </c>
      <c r="D7" s="79">
        <v>22.04</v>
      </c>
      <c r="E7" s="248">
        <v>35.200000000000003</v>
      </c>
      <c r="F7" s="16"/>
      <c r="G7" s="25"/>
      <c r="H7" s="145">
        <f>C7-C29</f>
        <v>-6</v>
      </c>
      <c r="I7" s="145">
        <f>D7-D29</f>
        <v>2.7489999999999988</v>
      </c>
      <c r="J7" s="145">
        <f>E7-E29</f>
        <v>-5.0849999999999937</v>
      </c>
      <c r="K7" s="29"/>
      <c r="L7" s="29"/>
      <c r="M7" s="27"/>
      <c r="N7" s="27"/>
      <c r="O7" s="27"/>
    </row>
    <row r="8" spans="1:15" x14ac:dyDescent="0.25">
      <c r="A8" s="22">
        <v>3174</v>
      </c>
      <c r="B8" s="23" t="s">
        <v>14</v>
      </c>
      <c r="C8" s="73">
        <v>48</v>
      </c>
      <c r="D8" s="79">
        <v>35.1</v>
      </c>
      <c r="E8" s="248">
        <v>67.2</v>
      </c>
      <c r="F8" s="16"/>
      <c r="G8" s="17"/>
      <c r="H8" s="145">
        <f>C8-C30</f>
        <v>-29.400000000000006</v>
      </c>
      <c r="I8" s="145">
        <f>D8-D30</f>
        <v>-49.439</v>
      </c>
      <c r="J8" s="145">
        <f>E8-E30</f>
        <v>-40.08</v>
      </c>
      <c r="K8" s="29"/>
      <c r="L8" s="29"/>
      <c r="M8" s="2"/>
      <c r="N8" s="2"/>
      <c r="O8" s="2"/>
    </row>
    <row r="9" spans="1:15" x14ac:dyDescent="0.25">
      <c r="A9" s="30" t="s">
        <v>18</v>
      </c>
      <c r="B9" s="23" t="s">
        <v>19</v>
      </c>
      <c r="C9" s="73">
        <v>79.8</v>
      </c>
      <c r="D9" s="79">
        <v>110.27500000000001</v>
      </c>
      <c r="E9" s="248">
        <v>79.8</v>
      </c>
      <c r="F9" s="16"/>
      <c r="G9" s="17"/>
      <c r="H9" s="145">
        <f>C9-C31</f>
        <v>0</v>
      </c>
      <c r="I9" s="145">
        <f>D9-D31</f>
        <v>6.0000000000002274E-3</v>
      </c>
      <c r="J9" s="145">
        <f>E9-E31</f>
        <v>0</v>
      </c>
      <c r="K9" s="29"/>
      <c r="L9" s="29"/>
      <c r="M9" s="2"/>
      <c r="N9" s="2"/>
      <c r="O9" s="2"/>
    </row>
    <row r="10" spans="1:15" s="28" customFormat="1" x14ac:dyDescent="0.25">
      <c r="A10" s="22">
        <v>3177</v>
      </c>
      <c r="B10" s="23" t="s">
        <v>15</v>
      </c>
      <c r="C10" s="73">
        <v>23.5</v>
      </c>
      <c r="D10" s="79">
        <v>26.87</v>
      </c>
      <c r="E10" s="248">
        <v>31</v>
      </c>
      <c r="F10" s="16"/>
      <c r="G10" s="25"/>
      <c r="H10" s="145">
        <f>C10-C32</f>
        <v>7</v>
      </c>
      <c r="I10" s="145">
        <f>D10-D32</f>
        <v>12.601000000000001</v>
      </c>
      <c r="J10" s="145">
        <f>E10-E32</f>
        <v>6</v>
      </c>
      <c r="K10" s="29"/>
      <c r="L10" s="29"/>
      <c r="M10" s="27"/>
      <c r="N10" s="27"/>
      <c r="O10" s="27"/>
    </row>
    <row r="11" spans="1:15" x14ac:dyDescent="0.25">
      <c r="A11" s="22">
        <v>3178</v>
      </c>
      <c r="B11" s="23" t="s">
        <v>16</v>
      </c>
      <c r="C11" s="73">
        <v>81</v>
      </c>
      <c r="D11" s="79">
        <v>73.8</v>
      </c>
      <c r="E11" s="248">
        <v>50</v>
      </c>
      <c r="F11" s="16"/>
      <c r="G11" s="17"/>
      <c r="H11" s="145">
        <f>C11-C33</f>
        <v>5</v>
      </c>
      <c r="I11" s="145">
        <f>D11-D33</f>
        <v>22.003</v>
      </c>
      <c r="J11" s="145">
        <f>E11-E33</f>
        <v>0</v>
      </c>
      <c r="K11" s="17" t="s">
        <v>305</v>
      </c>
      <c r="L11" s="29"/>
      <c r="M11" s="2"/>
      <c r="N11" s="2"/>
      <c r="O11" s="2"/>
    </row>
    <row r="12" spans="1:15" x14ac:dyDescent="0.25">
      <c r="A12" s="30">
        <v>3540</v>
      </c>
      <c r="B12" s="23" t="s">
        <v>17</v>
      </c>
      <c r="C12" s="73"/>
      <c r="D12" s="79">
        <v>14.87</v>
      </c>
      <c r="E12" s="248">
        <v>16</v>
      </c>
      <c r="F12" s="16"/>
      <c r="G12" s="17"/>
      <c r="H12" s="145">
        <f>C12-C23</f>
        <v>-2</v>
      </c>
      <c r="I12" s="145">
        <f>D12-D23</f>
        <v>-24.82</v>
      </c>
      <c r="J12" s="145">
        <f>E12-E23</f>
        <v>-2</v>
      </c>
      <c r="K12" s="29"/>
      <c r="L12" s="29"/>
      <c r="M12" s="2"/>
      <c r="N12" s="2"/>
      <c r="O12" s="2"/>
    </row>
    <row r="13" spans="1:15" x14ac:dyDescent="0.25">
      <c r="A13" s="30"/>
      <c r="B13" s="23"/>
      <c r="C13" s="73"/>
      <c r="D13" s="33"/>
      <c r="E13" s="248"/>
      <c r="F13" s="16"/>
      <c r="G13" s="17"/>
      <c r="H13" s="145"/>
      <c r="I13" s="145"/>
      <c r="J13" s="145"/>
      <c r="K13" s="34"/>
      <c r="L13" s="29"/>
      <c r="M13" s="2"/>
      <c r="N13" s="2"/>
      <c r="O13" s="2"/>
    </row>
    <row r="14" spans="1:15" s="28" customFormat="1" x14ac:dyDescent="0.25">
      <c r="A14" s="30"/>
      <c r="B14" s="23" t="s">
        <v>20</v>
      </c>
      <c r="C14" s="73">
        <v>5</v>
      </c>
      <c r="D14" s="33"/>
      <c r="E14" s="248">
        <v>5</v>
      </c>
      <c r="F14" s="16"/>
      <c r="G14" s="25"/>
      <c r="H14" s="145"/>
      <c r="I14" s="145"/>
      <c r="J14" s="145"/>
      <c r="K14" s="17" t="s">
        <v>301</v>
      </c>
      <c r="L14" s="29"/>
      <c r="M14" s="27"/>
      <c r="N14" s="27"/>
      <c r="O14" s="27"/>
    </row>
    <row r="15" spans="1:15" s="28" customFormat="1" x14ac:dyDescent="0.25">
      <c r="A15" s="30"/>
      <c r="B15" s="32"/>
      <c r="C15" s="73"/>
      <c r="D15" s="33"/>
      <c r="E15" s="248"/>
      <c r="F15" s="16"/>
      <c r="G15" s="25"/>
      <c r="H15" s="145"/>
      <c r="I15" s="145"/>
      <c r="J15" s="145"/>
      <c r="K15" s="34"/>
      <c r="L15" s="29"/>
      <c r="M15" s="27"/>
      <c r="N15" s="27"/>
      <c r="O15" s="27"/>
    </row>
    <row r="16" spans="1:15" s="28" customFormat="1" x14ac:dyDescent="0.25">
      <c r="A16" s="30"/>
      <c r="B16" s="23" t="s">
        <v>101</v>
      </c>
      <c r="C16" s="73"/>
      <c r="D16" s="33"/>
      <c r="E16" s="248"/>
      <c r="F16" s="16"/>
      <c r="G16" s="25"/>
      <c r="H16" s="145">
        <f>C16-C34</f>
        <v>-1</v>
      </c>
      <c r="I16" s="145">
        <f>D16-D34</f>
        <v>-4.3129999999999997</v>
      </c>
      <c r="J16" s="145">
        <f>E16-E34</f>
        <v>-1</v>
      </c>
      <c r="K16" s="29"/>
      <c r="L16" s="29"/>
      <c r="M16" s="27"/>
      <c r="N16" s="27"/>
      <c r="O16" s="27"/>
    </row>
    <row r="17" spans="1:15" s="28" customFormat="1" x14ac:dyDescent="0.25">
      <c r="A17" s="22"/>
      <c r="B17" s="32"/>
      <c r="C17" s="73"/>
      <c r="D17" s="24"/>
      <c r="E17" s="249"/>
      <c r="F17" s="16"/>
      <c r="G17" s="25"/>
      <c r="H17" s="145"/>
      <c r="I17" s="145"/>
      <c r="J17" s="145"/>
      <c r="K17" s="29"/>
      <c r="L17" s="29"/>
      <c r="M17" s="27"/>
      <c r="N17" s="27"/>
      <c r="O17" s="27"/>
    </row>
    <row r="18" spans="1:15" ht="16.5" thickBot="1" x14ac:dyDescent="0.3">
      <c r="A18" s="35"/>
      <c r="B18" s="36"/>
      <c r="C18" s="74"/>
      <c r="D18" s="37"/>
      <c r="E18" s="250"/>
      <c r="F18" s="16"/>
      <c r="G18" s="17"/>
      <c r="H18" s="145"/>
      <c r="I18" s="145"/>
      <c r="J18" s="145"/>
      <c r="K18" s="29"/>
      <c r="L18" s="29"/>
      <c r="M18" s="2"/>
      <c r="N18" s="2"/>
      <c r="O18" s="2"/>
    </row>
    <row r="19" spans="1:15" x14ac:dyDescent="0.25">
      <c r="A19" s="7" t="s">
        <v>4</v>
      </c>
      <c r="C19" s="38">
        <f>SUM(C5:C18)</f>
        <v>372</v>
      </c>
      <c r="D19" s="46">
        <f>SUM(D5:D18)</f>
        <v>365.709</v>
      </c>
      <c r="E19" s="46">
        <f>SUM(E5:E18)</f>
        <v>375.16</v>
      </c>
      <c r="F19" s="16"/>
      <c r="G19" s="17"/>
      <c r="H19" s="145">
        <f>C19-C39</f>
        <v>-51.699999999999989</v>
      </c>
      <c r="I19" s="145">
        <f>D19-D39</f>
        <v>-54.368999999999971</v>
      </c>
      <c r="J19" s="145">
        <f>E19-E39</f>
        <v>-64.985000000000014</v>
      </c>
      <c r="K19" s="29"/>
      <c r="L19" s="29"/>
      <c r="M19" s="2"/>
      <c r="N19" s="2"/>
      <c r="O19" s="2"/>
    </row>
    <row r="20" spans="1:15" x14ac:dyDescent="0.25">
      <c r="C20" s="42"/>
      <c r="D20" s="43"/>
      <c r="E20" s="252"/>
      <c r="F20" s="40"/>
      <c r="G20" s="41"/>
      <c r="H20" s="21"/>
      <c r="I20" s="27"/>
      <c r="J20" s="29"/>
      <c r="K20" s="29"/>
      <c r="L20" s="29"/>
      <c r="M20" s="2"/>
      <c r="N20" s="2"/>
      <c r="O20" s="2"/>
    </row>
    <row r="21" spans="1:15" x14ac:dyDescent="0.25">
      <c r="C21" s="42"/>
      <c r="D21" s="43"/>
      <c r="E21" s="252"/>
      <c r="F21" s="40"/>
      <c r="G21" s="41"/>
      <c r="H21" s="21"/>
      <c r="I21" s="27"/>
      <c r="J21" s="29"/>
      <c r="K21" s="29"/>
      <c r="L21" s="29"/>
      <c r="M21" s="2"/>
      <c r="N21" s="2"/>
      <c r="O21" s="2"/>
    </row>
    <row r="22" spans="1:15" x14ac:dyDescent="0.25">
      <c r="A22" s="14" t="s">
        <v>5</v>
      </c>
      <c r="B22" s="45"/>
      <c r="C22" s="42"/>
      <c r="D22" s="43"/>
      <c r="E22" s="252"/>
      <c r="F22" s="44"/>
      <c r="G22" s="2"/>
      <c r="H22" s="21"/>
      <c r="I22" s="27"/>
      <c r="J22" s="29"/>
      <c r="K22" s="29"/>
      <c r="L22" s="29"/>
      <c r="M22" s="2"/>
      <c r="N22" s="2"/>
      <c r="O22" s="2"/>
    </row>
    <row r="23" spans="1:15" x14ac:dyDescent="0.25">
      <c r="A23" s="30">
        <v>4015</v>
      </c>
      <c r="B23" s="23" t="s">
        <v>21</v>
      </c>
      <c r="C23" s="73">
        <v>2</v>
      </c>
      <c r="D23" s="144">
        <f>16.59+23.1</f>
        <v>39.69</v>
      </c>
      <c r="E23" s="248">
        <v>18</v>
      </c>
      <c r="F23" s="16"/>
      <c r="G23" s="17"/>
      <c r="H23" s="21"/>
      <c r="I23" s="2"/>
      <c r="J23" s="46"/>
      <c r="K23" s="29"/>
      <c r="L23" s="29"/>
      <c r="M23" s="2"/>
      <c r="N23" s="2"/>
      <c r="O23" s="2"/>
    </row>
    <row r="24" spans="1:15" x14ac:dyDescent="0.25">
      <c r="A24" s="22">
        <v>4020</v>
      </c>
      <c r="B24" s="23" t="s">
        <v>22</v>
      </c>
      <c r="C24" s="73">
        <v>3</v>
      </c>
      <c r="D24" s="80">
        <v>2.1560000000000001</v>
      </c>
      <c r="E24" s="248">
        <v>2</v>
      </c>
      <c r="F24" s="16"/>
      <c r="G24" s="17"/>
      <c r="H24" s="21"/>
      <c r="I24" s="2"/>
      <c r="J24" s="29"/>
      <c r="K24" s="29"/>
      <c r="L24" s="29"/>
      <c r="M24" s="2"/>
      <c r="N24" s="2"/>
      <c r="O24" s="2"/>
    </row>
    <row r="25" spans="1:15" x14ac:dyDescent="0.25">
      <c r="A25" s="22">
        <v>4030</v>
      </c>
      <c r="B25" s="23" t="s">
        <v>27</v>
      </c>
      <c r="C25" s="73">
        <v>5</v>
      </c>
      <c r="D25" s="80"/>
      <c r="E25" s="248">
        <v>5</v>
      </c>
      <c r="F25" s="16"/>
      <c r="G25" s="17"/>
      <c r="H25" s="21"/>
      <c r="I25" s="2"/>
      <c r="J25" s="29"/>
      <c r="K25" s="29"/>
      <c r="L25" s="29"/>
      <c r="M25" s="2"/>
      <c r="N25" s="2"/>
      <c r="O25" s="2"/>
    </row>
    <row r="26" spans="1:15" x14ac:dyDescent="0.25">
      <c r="A26" s="22">
        <v>4132</v>
      </c>
      <c r="B26" s="23" t="s">
        <v>23</v>
      </c>
      <c r="C26" s="73"/>
      <c r="D26" s="80"/>
      <c r="E26" s="248"/>
      <c r="F26" s="16"/>
      <c r="G26" s="17"/>
      <c r="H26" s="26"/>
      <c r="I26" s="47"/>
      <c r="J26" s="29"/>
      <c r="K26" s="29"/>
      <c r="L26" s="29"/>
      <c r="M26" s="2"/>
      <c r="N26" s="2"/>
      <c r="O26" s="2"/>
    </row>
    <row r="27" spans="1:15" x14ac:dyDescent="0.25">
      <c r="A27" s="22">
        <v>4171</v>
      </c>
      <c r="B27" s="23" t="s">
        <v>11</v>
      </c>
      <c r="C27" s="73">
        <v>35.799999999999997</v>
      </c>
      <c r="D27" s="80">
        <v>26.04</v>
      </c>
      <c r="E27" s="248">
        <v>25.88</v>
      </c>
      <c r="F27" s="16"/>
      <c r="G27" s="17"/>
      <c r="H27" s="21"/>
      <c r="I27" s="2"/>
      <c r="J27" s="29"/>
      <c r="K27" s="29"/>
      <c r="L27" s="29"/>
      <c r="M27" s="2"/>
      <c r="N27" s="2"/>
      <c r="O27" s="2"/>
    </row>
    <row r="28" spans="1:15" x14ac:dyDescent="0.25">
      <c r="A28" s="22">
        <v>4172</v>
      </c>
      <c r="B28" s="23" t="s">
        <v>12</v>
      </c>
      <c r="C28" s="73">
        <v>74.400000000000006</v>
      </c>
      <c r="D28" s="80">
        <v>67.713999999999999</v>
      </c>
      <c r="E28" s="248">
        <v>75.900000000000006</v>
      </c>
      <c r="F28" s="16"/>
      <c r="G28" s="17"/>
      <c r="H28" s="31"/>
      <c r="I28" s="2"/>
      <c r="J28" s="29"/>
      <c r="K28" s="29"/>
      <c r="L28" s="29"/>
      <c r="M28" s="2"/>
      <c r="N28" s="2"/>
      <c r="O28" s="2"/>
    </row>
    <row r="29" spans="1:15" x14ac:dyDescent="0.25">
      <c r="A29" s="22">
        <v>4173</v>
      </c>
      <c r="B29" s="23" t="s">
        <v>13</v>
      </c>
      <c r="C29" s="73">
        <v>42.8</v>
      </c>
      <c r="D29" s="80">
        <v>19.291</v>
      </c>
      <c r="E29" s="248">
        <v>40.284999999999997</v>
      </c>
      <c r="F29" s="16"/>
      <c r="G29" s="17"/>
      <c r="H29" s="31"/>
      <c r="I29" s="2"/>
      <c r="J29" s="29"/>
      <c r="K29" s="29"/>
      <c r="L29" s="29"/>
      <c r="M29" s="2"/>
      <c r="N29" s="2"/>
      <c r="O29" s="2"/>
    </row>
    <row r="30" spans="1:15" x14ac:dyDescent="0.25">
      <c r="A30" s="22">
        <v>4174</v>
      </c>
      <c r="B30" s="23" t="s">
        <v>14</v>
      </c>
      <c r="C30" s="73">
        <v>77.400000000000006</v>
      </c>
      <c r="D30" s="80">
        <v>84.539000000000001</v>
      </c>
      <c r="E30" s="248">
        <v>107.28</v>
      </c>
      <c r="F30" s="16"/>
      <c r="G30" s="17"/>
      <c r="H30" s="21"/>
      <c r="I30" s="2"/>
      <c r="J30" s="29"/>
      <c r="K30" s="29"/>
      <c r="L30" s="29"/>
      <c r="M30" s="2"/>
      <c r="N30" s="2"/>
      <c r="O30" s="2"/>
    </row>
    <row r="31" spans="1:15" x14ac:dyDescent="0.25">
      <c r="A31" s="30" t="s">
        <v>24</v>
      </c>
      <c r="B31" s="23" t="s">
        <v>25</v>
      </c>
      <c r="C31" s="73">
        <v>79.8</v>
      </c>
      <c r="D31" s="80">
        <v>110.26900000000001</v>
      </c>
      <c r="E31" s="248">
        <v>79.8</v>
      </c>
      <c r="F31" s="16"/>
      <c r="G31" s="17"/>
      <c r="H31" s="21"/>
      <c r="I31" s="2"/>
      <c r="J31" s="29"/>
      <c r="K31" s="29"/>
      <c r="L31" s="29"/>
      <c r="M31" s="2"/>
      <c r="N31" s="2"/>
      <c r="O31" s="2"/>
    </row>
    <row r="32" spans="1:15" x14ac:dyDescent="0.25">
      <c r="A32" s="22">
        <v>4177</v>
      </c>
      <c r="B32" s="23" t="s">
        <v>15</v>
      </c>
      <c r="C32" s="73">
        <v>16.5</v>
      </c>
      <c r="D32" s="80">
        <v>14.269</v>
      </c>
      <c r="E32" s="248">
        <v>25</v>
      </c>
      <c r="F32" s="16"/>
      <c r="G32" s="17"/>
      <c r="H32" s="31"/>
      <c r="I32" s="2"/>
      <c r="J32" s="29"/>
      <c r="K32" s="17" t="s">
        <v>303</v>
      </c>
      <c r="L32" s="29"/>
      <c r="M32" s="2"/>
      <c r="N32" s="2"/>
      <c r="O32" s="2"/>
    </row>
    <row r="33" spans="1:15" x14ac:dyDescent="0.25">
      <c r="A33" s="22">
        <v>4178</v>
      </c>
      <c r="B33" s="23" t="s">
        <v>16</v>
      </c>
      <c r="C33" s="73">
        <v>76</v>
      </c>
      <c r="D33" s="80">
        <v>51.796999999999997</v>
      </c>
      <c r="E33" s="248">
        <v>50</v>
      </c>
      <c r="F33" s="16"/>
      <c r="G33" s="17"/>
      <c r="H33" s="31"/>
      <c r="I33" s="2"/>
      <c r="J33" s="29"/>
      <c r="K33" s="247" t="s">
        <v>306</v>
      </c>
      <c r="L33" s="29"/>
      <c r="M33" s="2"/>
      <c r="N33" s="2"/>
      <c r="O33" s="2"/>
    </row>
    <row r="34" spans="1:15" x14ac:dyDescent="0.25">
      <c r="A34" s="30">
        <v>4180</v>
      </c>
      <c r="B34" s="23" t="s">
        <v>9</v>
      </c>
      <c r="C34" s="73">
        <v>1</v>
      </c>
      <c r="D34" s="80">
        <v>4.3129999999999997</v>
      </c>
      <c r="E34" s="248">
        <v>1</v>
      </c>
      <c r="F34" s="16"/>
      <c r="G34" s="48"/>
      <c r="H34" s="31"/>
      <c r="I34" s="2"/>
      <c r="J34" s="29"/>
      <c r="K34" s="29"/>
      <c r="L34" s="29"/>
      <c r="M34" s="2"/>
      <c r="N34" s="2"/>
      <c r="O34" s="2"/>
    </row>
    <row r="35" spans="1:15" x14ac:dyDescent="0.25">
      <c r="A35" s="30">
        <v>7610</v>
      </c>
      <c r="B35" s="23" t="s">
        <v>26</v>
      </c>
      <c r="C35" s="73">
        <v>10</v>
      </c>
      <c r="D35" s="80"/>
      <c r="E35" s="248">
        <v>10</v>
      </c>
      <c r="F35" s="49"/>
      <c r="G35" s="48"/>
      <c r="H35" s="31"/>
      <c r="I35" s="2"/>
      <c r="J35" s="34"/>
      <c r="K35" s="256" t="s">
        <v>299</v>
      </c>
      <c r="L35" s="29"/>
      <c r="M35" s="2"/>
      <c r="N35" s="2"/>
      <c r="O35" s="2"/>
    </row>
    <row r="36" spans="1:15" x14ac:dyDescent="0.25">
      <c r="A36" s="22"/>
      <c r="B36" s="32"/>
      <c r="C36" s="73"/>
      <c r="D36" s="80"/>
      <c r="E36" s="253"/>
      <c r="F36" s="49"/>
      <c r="G36" s="48"/>
      <c r="H36" s="31"/>
      <c r="I36" s="2"/>
      <c r="J36" s="34"/>
      <c r="K36" s="29"/>
      <c r="L36" s="29"/>
      <c r="M36" s="2"/>
      <c r="N36" s="2"/>
      <c r="O36" s="2"/>
    </row>
    <row r="37" spans="1:15" x14ac:dyDescent="0.25">
      <c r="F37" s="16"/>
      <c r="G37" s="17"/>
      <c r="H37" s="31"/>
      <c r="I37" s="2"/>
      <c r="J37" s="29"/>
      <c r="K37" s="29"/>
      <c r="L37" s="29"/>
      <c r="M37" s="2"/>
      <c r="N37" s="2"/>
      <c r="O37" s="2"/>
    </row>
    <row r="38" spans="1:15" ht="16.5" thickBot="1" x14ac:dyDescent="0.3">
      <c r="A38" s="35"/>
      <c r="B38" s="36"/>
      <c r="C38" s="74"/>
      <c r="D38" s="37"/>
      <c r="E38" s="250"/>
      <c r="F38" s="16"/>
      <c r="G38" s="17"/>
      <c r="H38" s="31"/>
      <c r="I38" s="27"/>
      <c r="J38" s="29"/>
      <c r="K38" s="29"/>
      <c r="L38" s="29"/>
      <c r="M38" s="2"/>
      <c r="N38" s="2"/>
      <c r="O38" s="2"/>
    </row>
    <row r="39" spans="1:15" x14ac:dyDescent="0.25">
      <c r="A39" s="7" t="s">
        <v>6</v>
      </c>
      <c r="C39" s="50">
        <f>SUM(C23:C38)</f>
        <v>423.7</v>
      </c>
      <c r="D39" s="46">
        <f>SUM(D23:D38)</f>
        <v>420.07799999999997</v>
      </c>
      <c r="E39" s="46">
        <f>SUM(E23:E38)</f>
        <v>440.14500000000004</v>
      </c>
      <c r="F39" s="49"/>
      <c r="G39" s="48"/>
      <c r="H39" s="31"/>
      <c r="I39" s="27"/>
      <c r="J39" s="29"/>
      <c r="K39" s="29"/>
      <c r="L39" s="29"/>
      <c r="M39" s="2"/>
      <c r="N39" s="2"/>
      <c r="O39" s="2"/>
    </row>
    <row r="40" spans="1:15" x14ac:dyDescent="0.25">
      <c r="C40" s="50"/>
      <c r="D40" s="51"/>
      <c r="E40" s="254"/>
      <c r="F40" s="40"/>
      <c r="G40" s="41"/>
      <c r="H40" s="21"/>
      <c r="I40" s="27"/>
      <c r="J40" s="29"/>
      <c r="K40" s="29"/>
      <c r="L40" s="29"/>
      <c r="M40" s="2"/>
      <c r="N40" s="2"/>
      <c r="O40" s="2"/>
    </row>
    <row r="41" spans="1:15" x14ac:dyDescent="0.25">
      <c r="C41" s="50"/>
      <c r="D41" s="51"/>
      <c r="E41" s="254"/>
      <c r="F41" s="40"/>
      <c r="G41" s="41"/>
      <c r="H41" s="21"/>
      <c r="I41" s="27"/>
      <c r="J41" s="29"/>
      <c r="K41" s="29"/>
      <c r="L41" s="29"/>
      <c r="M41" s="2"/>
      <c r="N41" s="2"/>
      <c r="O41" s="2"/>
    </row>
    <row r="42" spans="1:15" x14ac:dyDescent="0.25">
      <c r="C42" s="3" t="s">
        <v>1</v>
      </c>
      <c r="D42" s="9" t="s">
        <v>2</v>
      </c>
      <c r="E42" s="251" t="s">
        <v>1</v>
      </c>
      <c r="F42" s="40"/>
      <c r="G42" s="41"/>
      <c r="H42" s="21"/>
      <c r="I42" s="2"/>
      <c r="J42" s="29"/>
      <c r="K42" s="51"/>
      <c r="L42" s="51"/>
      <c r="M42" s="2"/>
      <c r="N42" s="2"/>
      <c r="O42" s="2"/>
    </row>
    <row r="43" spans="1:15" ht="16.5" thickBot="1" x14ac:dyDescent="0.3">
      <c r="C43" s="3">
        <v>2016</v>
      </c>
      <c r="D43" s="15">
        <v>2015</v>
      </c>
      <c r="E43" s="15">
        <v>2015</v>
      </c>
      <c r="F43" s="40"/>
      <c r="G43" s="41"/>
      <c r="H43" s="21"/>
      <c r="I43" s="2"/>
      <c r="J43" s="50"/>
      <c r="K43" s="51"/>
      <c r="L43" s="51"/>
      <c r="M43" s="2"/>
      <c r="N43" s="2"/>
      <c r="O43" s="2"/>
    </row>
    <row r="44" spans="1:15" ht="16.5" thickBot="1" x14ac:dyDescent="0.3">
      <c r="A44" s="52" t="s">
        <v>7</v>
      </c>
      <c r="B44" s="53"/>
      <c r="C44" s="54">
        <f>+C19-C39</f>
        <v>-51.699999999999989</v>
      </c>
      <c r="D44" s="55">
        <f>+D19-D39</f>
        <v>-54.368999999999971</v>
      </c>
      <c r="E44" s="56">
        <f>SUM(E19-E39)</f>
        <v>-64.985000000000014</v>
      </c>
      <c r="F44" s="44"/>
      <c r="G44" s="2"/>
      <c r="H44" s="21"/>
      <c r="I44" s="2"/>
      <c r="J44" s="50"/>
      <c r="K44" s="247" t="s">
        <v>307</v>
      </c>
      <c r="L44" s="51"/>
      <c r="M44" s="2"/>
      <c r="N44" s="2"/>
      <c r="O44" s="2"/>
    </row>
    <row r="45" spans="1:15" x14ac:dyDescent="0.25">
      <c r="D45" s="57"/>
      <c r="E45" s="252"/>
      <c r="F45" s="40"/>
      <c r="G45" s="41"/>
      <c r="H45" s="21"/>
      <c r="I45" s="2"/>
      <c r="J45" s="18"/>
      <c r="K45" s="2" t="s">
        <v>308</v>
      </c>
      <c r="L45" s="10"/>
      <c r="M45" s="2"/>
      <c r="N45" s="2"/>
      <c r="O45" s="2"/>
    </row>
    <row r="46" spans="1:15" x14ac:dyDescent="0.25">
      <c r="A46" s="59" t="s">
        <v>8</v>
      </c>
      <c r="B46" s="2"/>
      <c r="C46" s="18"/>
      <c r="D46" s="58"/>
      <c r="E46" s="252"/>
      <c r="F46" s="40"/>
      <c r="G46" s="41"/>
      <c r="H46" s="21"/>
      <c r="I46" s="2"/>
      <c r="J46" s="18"/>
      <c r="L46" s="15"/>
      <c r="M46" s="2"/>
      <c r="N46" s="2"/>
      <c r="O46" s="2"/>
    </row>
    <row r="47" spans="1:15" x14ac:dyDescent="0.25">
      <c r="A47" s="21"/>
      <c r="B47" s="2"/>
      <c r="C47" s="18"/>
      <c r="D47" s="58"/>
      <c r="E47" s="252"/>
      <c r="F47" s="40"/>
      <c r="G47" s="41"/>
      <c r="H47" s="26"/>
      <c r="I47" s="2"/>
      <c r="J47" s="38"/>
      <c r="K47" s="60"/>
      <c r="L47" s="60"/>
      <c r="M47" s="2"/>
      <c r="N47" s="2"/>
      <c r="O47" s="2"/>
    </row>
    <row r="48" spans="1:15" x14ac:dyDescent="0.25">
      <c r="A48" s="21"/>
      <c r="B48" s="2"/>
      <c r="C48" s="18"/>
      <c r="D48" s="58"/>
      <c r="E48" s="252"/>
      <c r="F48" s="40"/>
      <c r="G48" s="41"/>
      <c r="H48" s="21"/>
      <c r="I48" s="2"/>
      <c r="J48" s="18"/>
      <c r="K48" s="58"/>
      <c r="L48" s="58"/>
      <c r="M48" s="2"/>
      <c r="N48" s="2"/>
      <c r="O48" s="2"/>
    </row>
    <row r="49" spans="1:15" x14ac:dyDescent="0.25">
      <c r="A49" s="21"/>
      <c r="B49" s="2"/>
      <c r="C49" s="18"/>
      <c r="D49" s="58"/>
      <c r="E49" s="252"/>
      <c r="F49" s="40"/>
      <c r="G49" s="41"/>
      <c r="H49" s="59"/>
      <c r="I49" s="2"/>
      <c r="J49" s="18"/>
      <c r="K49" s="58"/>
      <c r="L49" s="58"/>
      <c r="M49" s="2"/>
      <c r="N49" s="2"/>
      <c r="O49" s="2"/>
    </row>
    <row r="50" spans="1:15" x14ac:dyDescent="0.25">
      <c r="A50" s="21"/>
      <c r="B50" s="2"/>
      <c r="C50" s="18"/>
      <c r="D50" s="15"/>
      <c r="E50" s="254"/>
      <c r="F50" s="44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1"/>
      <c r="B51" s="2"/>
      <c r="C51" s="18"/>
      <c r="D51" s="15"/>
      <c r="E51" s="254"/>
      <c r="F51" s="11"/>
      <c r="G51" s="12"/>
      <c r="H51" s="12"/>
      <c r="I51" s="2"/>
      <c r="J51" s="2"/>
      <c r="K51" s="2"/>
      <c r="L51" s="2"/>
      <c r="M51" s="2"/>
      <c r="N51" s="2"/>
      <c r="O51" s="2"/>
    </row>
    <row r="52" spans="1:15" x14ac:dyDescent="0.25">
      <c r="A52" s="21"/>
      <c r="B52" s="2"/>
      <c r="C52" s="18"/>
      <c r="D52" s="58"/>
      <c r="E52" s="252"/>
      <c r="F52" s="44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1"/>
      <c r="B53" s="2"/>
      <c r="C53" s="18"/>
      <c r="D53" s="29"/>
      <c r="E53" s="29"/>
      <c r="F53" s="62"/>
      <c r="G53" s="17"/>
      <c r="H53" s="63"/>
    </row>
    <row r="54" spans="1:15" x14ac:dyDescent="0.25">
      <c r="A54" s="21"/>
      <c r="B54" s="2"/>
      <c r="C54" s="18"/>
      <c r="D54" s="29"/>
      <c r="E54" s="29"/>
      <c r="F54" s="62"/>
      <c r="G54" s="17"/>
      <c r="H54" s="63"/>
    </row>
    <row r="55" spans="1:15" x14ac:dyDescent="0.25">
      <c r="A55" s="21"/>
      <c r="B55" s="2"/>
      <c r="C55" s="61"/>
      <c r="D55" s="29"/>
      <c r="E55" s="29"/>
      <c r="F55" s="62"/>
      <c r="G55" s="2"/>
    </row>
    <row r="56" spans="1:15" x14ac:dyDescent="0.25">
      <c r="A56" s="21"/>
      <c r="B56" s="2"/>
      <c r="C56" s="61"/>
      <c r="D56" s="29"/>
      <c r="E56" s="29"/>
      <c r="F56" s="62"/>
      <c r="G56" s="17"/>
      <c r="H56" s="63"/>
    </row>
    <row r="57" spans="1:15" x14ac:dyDescent="0.25">
      <c r="A57" s="21"/>
      <c r="B57" s="2"/>
      <c r="C57" s="61"/>
      <c r="D57" s="29"/>
      <c r="E57" s="29"/>
      <c r="F57" s="62"/>
      <c r="G57" s="17"/>
      <c r="H57" s="63"/>
    </row>
    <row r="58" spans="1:15" x14ac:dyDescent="0.25">
      <c r="A58" s="21"/>
      <c r="B58" s="2"/>
      <c r="C58" s="61"/>
      <c r="D58" s="29"/>
      <c r="E58" s="29"/>
      <c r="F58" s="62"/>
      <c r="G58" s="17"/>
      <c r="H58" s="63"/>
    </row>
    <row r="59" spans="1:15" x14ac:dyDescent="0.25">
      <c r="A59" s="21"/>
      <c r="B59" s="44"/>
      <c r="C59" s="61"/>
      <c r="D59" s="29"/>
      <c r="E59" s="29"/>
      <c r="F59" s="62"/>
      <c r="G59" s="17"/>
      <c r="H59" s="63"/>
    </row>
    <row r="60" spans="1:15" x14ac:dyDescent="0.25">
      <c r="A60" s="21"/>
      <c r="B60" s="44"/>
      <c r="C60" s="61"/>
      <c r="D60" s="29"/>
      <c r="E60" s="29"/>
      <c r="F60" s="62"/>
      <c r="G60" s="17"/>
      <c r="H60" s="63"/>
    </row>
    <row r="61" spans="1:15" x14ac:dyDescent="0.25">
      <c r="A61" s="21"/>
      <c r="B61" s="2"/>
      <c r="C61" s="61"/>
      <c r="D61" s="29"/>
      <c r="E61" s="29"/>
      <c r="F61" s="62"/>
      <c r="G61" s="17"/>
      <c r="H61" s="63"/>
    </row>
    <row r="62" spans="1:15" x14ac:dyDescent="0.25">
      <c r="A62" s="21"/>
      <c r="B62" s="2"/>
      <c r="C62" s="61"/>
      <c r="D62" s="29"/>
      <c r="E62" s="29"/>
      <c r="F62" s="62"/>
      <c r="G62" s="17"/>
      <c r="H62" s="63"/>
    </row>
    <row r="63" spans="1:15" x14ac:dyDescent="0.25">
      <c r="A63" s="21"/>
      <c r="B63" s="2"/>
      <c r="C63" s="38"/>
      <c r="D63" s="29"/>
      <c r="E63" s="29"/>
      <c r="F63" s="62"/>
      <c r="G63" s="17"/>
      <c r="H63" s="63"/>
    </row>
    <row r="64" spans="1:15" x14ac:dyDescent="0.25">
      <c r="A64" s="21"/>
      <c r="B64" s="2"/>
      <c r="C64" s="38"/>
      <c r="D64" s="29"/>
      <c r="E64" s="29"/>
      <c r="F64" s="62"/>
      <c r="G64" s="17"/>
      <c r="H64" s="17"/>
    </row>
    <row r="65" spans="1:8" x14ac:dyDescent="0.25">
      <c r="A65" s="21"/>
      <c r="B65" s="2"/>
      <c r="C65" s="38"/>
      <c r="D65" s="29"/>
      <c r="E65" s="39"/>
      <c r="F65" s="40"/>
      <c r="G65" s="41"/>
      <c r="H65" s="41"/>
    </row>
    <row r="66" spans="1:8" x14ac:dyDescent="0.25">
      <c r="A66" s="21"/>
      <c r="B66" s="2"/>
      <c r="C66" s="18"/>
      <c r="D66" s="58"/>
      <c r="E66" s="51"/>
      <c r="F66" s="40"/>
      <c r="G66" s="41"/>
      <c r="H66" s="41"/>
    </row>
    <row r="67" spans="1:8" x14ac:dyDescent="0.25">
      <c r="A67" s="21"/>
      <c r="B67" s="2"/>
      <c r="C67" s="18"/>
      <c r="D67" s="64"/>
      <c r="E67" s="65"/>
      <c r="F67" s="66"/>
      <c r="G67" s="41"/>
      <c r="H67" s="41"/>
    </row>
    <row r="68" spans="1:8" x14ac:dyDescent="0.25">
      <c r="A68" s="21"/>
      <c r="B68" s="2"/>
      <c r="C68" s="18"/>
      <c r="D68" s="64"/>
      <c r="E68" s="65"/>
      <c r="F68" s="66"/>
      <c r="G68" s="41"/>
      <c r="H68" s="41"/>
    </row>
    <row r="69" spans="1:8" x14ac:dyDescent="0.25">
      <c r="A69" s="21"/>
      <c r="B69" s="47"/>
      <c r="C69" s="18"/>
      <c r="D69" s="67"/>
      <c r="E69" s="64"/>
      <c r="F69" s="68"/>
    </row>
    <row r="70" spans="1:8" x14ac:dyDescent="0.25">
      <c r="A70" s="21"/>
      <c r="B70" s="47"/>
      <c r="C70" s="18"/>
      <c r="D70" s="67"/>
      <c r="E70" s="64"/>
      <c r="F70" s="68"/>
      <c r="G70" s="2"/>
    </row>
    <row r="71" spans="1:8" x14ac:dyDescent="0.25">
      <c r="B71" s="47"/>
      <c r="C71" s="18"/>
      <c r="D71" s="67"/>
      <c r="E71" s="64"/>
      <c r="F71" s="68"/>
      <c r="G71" s="2"/>
    </row>
    <row r="72" spans="1:8" x14ac:dyDescent="0.25">
      <c r="A72" s="14"/>
      <c r="B72" s="47"/>
      <c r="C72" s="18"/>
      <c r="D72" s="67"/>
      <c r="E72" s="67"/>
      <c r="F72" s="69"/>
      <c r="G72" s="2"/>
    </row>
    <row r="73" spans="1:8" x14ac:dyDescent="0.25">
      <c r="A73" s="14"/>
      <c r="B73" s="47"/>
      <c r="C73" s="18"/>
      <c r="D73" s="67"/>
      <c r="E73" s="67"/>
      <c r="F73" s="69"/>
      <c r="G73" s="2"/>
    </row>
    <row r="74" spans="1:8" x14ac:dyDescent="0.25">
      <c r="B74" s="47"/>
      <c r="C74" s="18"/>
      <c r="D74" s="67"/>
      <c r="E74" s="67"/>
      <c r="F74" s="68"/>
      <c r="G74" s="2"/>
    </row>
    <row r="75" spans="1:8" x14ac:dyDescent="0.25">
      <c r="B75" s="2"/>
      <c r="C75" s="18"/>
      <c r="D75" s="64"/>
      <c r="E75" s="64"/>
      <c r="F75" s="68"/>
      <c r="G75" s="2"/>
    </row>
    <row r="76" spans="1:8" x14ac:dyDescent="0.25">
      <c r="B76" s="2"/>
      <c r="C76" s="18"/>
      <c r="D76" s="64"/>
      <c r="E76" s="64"/>
      <c r="F76" s="68"/>
      <c r="G76" s="2"/>
    </row>
    <row r="77" spans="1:8" x14ac:dyDescent="0.25">
      <c r="B77" s="2"/>
      <c r="C77" s="18"/>
      <c r="D77" s="64"/>
      <c r="E77" s="64"/>
      <c r="F77" s="68"/>
      <c r="G77" s="2"/>
    </row>
    <row r="78" spans="1:8" x14ac:dyDescent="0.25">
      <c r="B78" s="2"/>
      <c r="C78" s="18"/>
      <c r="D78" s="64"/>
      <c r="E78" s="64"/>
      <c r="F78" s="68"/>
      <c r="G78" s="2"/>
    </row>
    <row r="79" spans="1:8" x14ac:dyDescent="0.25">
      <c r="B79" s="2"/>
      <c r="C79" s="18"/>
      <c r="D79" s="64"/>
      <c r="E79" s="64"/>
      <c r="F79" s="68"/>
      <c r="G79" s="2"/>
    </row>
    <row r="80" spans="1:8" x14ac:dyDescent="0.25">
      <c r="B80" s="2"/>
      <c r="C80" s="18"/>
      <c r="D80" s="64"/>
      <c r="E80" s="64"/>
      <c r="F80" s="68"/>
      <c r="G80" s="2"/>
    </row>
    <row r="81" spans="2:7" x14ac:dyDescent="0.25">
      <c r="B81" s="2"/>
      <c r="C81" s="18"/>
      <c r="D81" s="64"/>
      <c r="E81" s="64"/>
      <c r="F81" s="68"/>
      <c r="G81" s="2"/>
    </row>
    <row r="82" spans="2:7" x14ac:dyDescent="0.25">
      <c r="B82" s="2"/>
      <c r="C82" s="18"/>
      <c r="D82" s="64"/>
      <c r="E82" s="64"/>
      <c r="F82" s="68"/>
      <c r="G82" s="2"/>
    </row>
    <row r="83" spans="2:7" x14ac:dyDescent="0.25">
      <c r="B83" s="45"/>
      <c r="C83" s="18"/>
      <c r="D83" s="67"/>
      <c r="E83" s="67"/>
      <c r="F83" s="68"/>
    </row>
    <row r="84" spans="2:7" x14ac:dyDescent="0.25">
      <c r="B84" s="45"/>
      <c r="D84" s="70"/>
      <c r="E84" s="70"/>
      <c r="F84" s="71"/>
    </row>
    <row r="85" spans="2:7" x14ac:dyDescent="0.25">
      <c r="B85" s="45"/>
      <c r="D85" s="70"/>
      <c r="E85" s="72"/>
      <c r="F85" s="71"/>
    </row>
    <row r="86" spans="2:7" x14ac:dyDescent="0.25">
      <c r="D86" s="72"/>
      <c r="E86" s="72"/>
      <c r="F86" s="71"/>
    </row>
    <row r="87" spans="2:7" x14ac:dyDescent="0.25">
      <c r="D87" s="72"/>
      <c r="E87" s="72"/>
      <c r="F87" s="71"/>
    </row>
    <row r="88" spans="2:7" x14ac:dyDescent="0.25">
      <c r="D88" s="72"/>
      <c r="E88" s="72"/>
      <c r="F88" s="71"/>
    </row>
    <row r="89" spans="2:7" x14ac:dyDescent="0.25">
      <c r="D89" s="72"/>
      <c r="E89" s="72"/>
      <c r="F89" s="71"/>
    </row>
    <row r="90" spans="2:7" x14ac:dyDescent="0.25">
      <c r="D90" s="72"/>
      <c r="E90" s="72"/>
      <c r="F90" s="71"/>
    </row>
    <row r="91" spans="2:7" x14ac:dyDescent="0.25">
      <c r="D91" s="72"/>
      <c r="E91" s="72"/>
      <c r="F91" s="71"/>
    </row>
    <row r="92" spans="2:7" x14ac:dyDescent="0.25">
      <c r="D92" s="72"/>
      <c r="E92" s="72"/>
      <c r="F92" s="71"/>
    </row>
    <row r="93" spans="2:7" x14ac:dyDescent="0.25">
      <c r="B93" s="2"/>
      <c r="C93" s="18"/>
      <c r="D93" s="64"/>
      <c r="E93" s="64"/>
      <c r="F93" s="68"/>
    </row>
    <row r="94" spans="2:7" x14ac:dyDescent="0.25">
      <c r="B94" s="2"/>
      <c r="C94" s="18"/>
      <c r="D94" s="64"/>
      <c r="E94" s="64"/>
      <c r="F94" s="68"/>
    </row>
    <row r="95" spans="2:7" x14ac:dyDescent="0.25">
      <c r="B95" s="47"/>
      <c r="C95" s="18"/>
      <c r="D95" s="67"/>
      <c r="E95" s="64"/>
      <c r="F95" s="68"/>
    </row>
    <row r="96" spans="2:7" x14ac:dyDescent="0.25">
      <c r="B96" s="47"/>
      <c r="C96" s="18"/>
      <c r="D96" s="67"/>
      <c r="E96" s="64"/>
      <c r="F96" s="68"/>
    </row>
    <row r="97" spans="2:6" x14ac:dyDescent="0.25">
      <c r="B97" s="47"/>
      <c r="C97" s="18"/>
      <c r="D97" s="67"/>
      <c r="E97" s="64"/>
      <c r="F97" s="68"/>
    </row>
    <row r="98" spans="2:6" x14ac:dyDescent="0.25">
      <c r="B98" s="2"/>
      <c r="C98" s="18"/>
      <c r="D98" s="64"/>
      <c r="E98" s="64"/>
      <c r="F98" s="68"/>
    </row>
    <row r="99" spans="2:6" x14ac:dyDescent="0.25">
      <c r="B99" s="2"/>
      <c r="C99" s="18"/>
      <c r="D99" s="64"/>
      <c r="E99" s="64"/>
      <c r="F99" s="68"/>
    </row>
    <row r="100" spans="2:6" x14ac:dyDescent="0.25">
      <c r="B100" s="2"/>
      <c r="C100" s="18"/>
      <c r="D100" s="64"/>
      <c r="E100" s="64"/>
      <c r="F100" s="68"/>
    </row>
    <row r="101" spans="2:6" x14ac:dyDescent="0.25">
      <c r="B101" s="2"/>
      <c r="C101" s="18"/>
      <c r="D101" s="64"/>
      <c r="E101" s="64"/>
      <c r="F101" s="68"/>
    </row>
    <row r="102" spans="2:6" x14ac:dyDescent="0.25">
      <c r="B102" s="2"/>
      <c r="C102" s="18"/>
      <c r="D102" s="64"/>
      <c r="E102" s="64"/>
      <c r="F102" s="68"/>
    </row>
    <row r="103" spans="2:6" x14ac:dyDescent="0.25">
      <c r="B103" s="47"/>
      <c r="C103" s="18"/>
      <c r="D103" s="67"/>
      <c r="E103" s="64"/>
      <c r="F103" s="68"/>
    </row>
    <row r="104" spans="2:6" x14ac:dyDescent="0.25">
      <c r="B104" s="2"/>
      <c r="C104" s="18"/>
      <c r="D104" s="64"/>
      <c r="E104" s="64"/>
      <c r="F104" s="68"/>
    </row>
    <row r="105" spans="2:6" x14ac:dyDescent="0.25">
      <c r="B105" s="47"/>
      <c r="C105" s="18"/>
      <c r="D105" s="67"/>
      <c r="E105" s="64"/>
      <c r="F105" s="68"/>
    </row>
    <row r="106" spans="2:6" x14ac:dyDescent="0.25">
      <c r="D106" s="72"/>
      <c r="E106" s="72"/>
      <c r="F106" s="71"/>
    </row>
    <row r="107" spans="2:6" x14ac:dyDescent="0.25">
      <c r="B107" s="28"/>
      <c r="D107" s="72"/>
      <c r="E107" s="72"/>
      <c r="F107" s="71"/>
    </row>
    <row r="108" spans="2:6" x14ac:dyDescent="0.25">
      <c r="D108" s="72"/>
      <c r="E108" s="72"/>
      <c r="F108" s="71"/>
    </row>
    <row r="109" spans="2:6" x14ac:dyDescent="0.25">
      <c r="D109" s="72"/>
      <c r="E109" s="72"/>
      <c r="F109" s="71"/>
    </row>
    <row r="110" spans="2:6" x14ac:dyDescent="0.25">
      <c r="D110" s="72"/>
      <c r="E110" s="72"/>
      <c r="F110" s="71"/>
    </row>
    <row r="111" spans="2:6" x14ac:dyDescent="0.25">
      <c r="D111" s="72"/>
      <c r="E111" s="72"/>
      <c r="F111" s="71"/>
    </row>
    <row r="112" spans="2:6" x14ac:dyDescent="0.25">
      <c r="D112" s="72"/>
      <c r="E112" s="72"/>
      <c r="F112" s="71"/>
    </row>
    <row r="113" spans="1:6" x14ac:dyDescent="0.25">
      <c r="D113" s="72"/>
      <c r="E113" s="72"/>
      <c r="F113" s="71"/>
    </row>
    <row r="114" spans="1:6" x14ac:dyDescent="0.25">
      <c r="D114" s="72"/>
      <c r="E114" s="72"/>
      <c r="F114" s="71"/>
    </row>
    <row r="115" spans="1:6" x14ac:dyDescent="0.25">
      <c r="B115" s="2"/>
      <c r="C115" s="18"/>
      <c r="D115" s="64"/>
      <c r="E115" s="64"/>
      <c r="F115" s="68"/>
    </row>
    <row r="116" spans="1:6" x14ac:dyDescent="0.25">
      <c r="B116" s="47"/>
      <c r="C116" s="18"/>
      <c r="D116" s="67"/>
      <c r="E116" s="64"/>
      <c r="F116" s="68"/>
    </row>
    <row r="117" spans="1:6" x14ac:dyDescent="0.25">
      <c r="D117" s="72"/>
      <c r="E117" s="72"/>
      <c r="F117" s="71"/>
    </row>
    <row r="118" spans="1:6" x14ac:dyDescent="0.25">
      <c r="B118" s="45"/>
      <c r="D118" s="70"/>
      <c r="E118" s="72"/>
      <c r="F118" s="71"/>
    </row>
    <row r="119" spans="1:6" x14ac:dyDescent="0.25">
      <c r="D119" s="72"/>
      <c r="E119" s="72"/>
      <c r="F119" s="71"/>
    </row>
    <row r="120" spans="1:6" x14ac:dyDescent="0.25">
      <c r="A120" s="21"/>
      <c r="B120" s="47"/>
      <c r="C120" s="18"/>
      <c r="D120" s="67"/>
      <c r="E120" s="67"/>
      <c r="F120" s="69"/>
    </row>
    <row r="121" spans="1:6" x14ac:dyDescent="0.25">
      <c r="A121" s="21"/>
      <c r="B121" s="2"/>
      <c r="C121" s="18"/>
      <c r="D121" s="64"/>
      <c r="E121" s="64"/>
      <c r="F121" s="68"/>
    </row>
    <row r="122" spans="1:6" x14ac:dyDescent="0.25">
      <c r="D122" s="72"/>
      <c r="E122" s="72"/>
      <c r="F122" s="71"/>
    </row>
    <row r="123" spans="1:6" x14ac:dyDescent="0.25">
      <c r="D123" s="72"/>
      <c r="E123" s="72"/>
      <c r="F123" s="71"/>
    </row>
    <row r="124" spans="1:6" x14ac:dyDescent="0.25">
      <c r="D124" s="72"/>
      <c r="E124" s="72"/>
      <c r="F124" s="71"/>
    </row>
    <row r="125" spans="1:6" x14ac:dyDescent="0.25">
      <c r="D125" s="72"/>
      <c r="E125" s="72"/>
      <c r="F125" s="71"/>
    </row>
    <row r="126" spans="1:6" x14ac:dyDescent="0.25">
      <c r="D126" s="72"/>
      <c r="E126" s="72"/>
      <c r="F126" s="71"/>
    </row>
    <row r="127" spans="1:6" x14ac:dyDescent="0.25">
      <c r="D127" s="72"/>
      <c r="E127" s="72"/>
      <c r="F127" s="71"/>
    </row>
    <row r="128" spans="1:6" x14ac:dyDescent="0.25">
      <c r="D128" s="72"/>
      <c r="E128" s="72"/>
      <c r="F128" s="7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M132"/>
  <sheetViews>
    <sheetView topLeftCell="C73" workbookViewId="0">
      <selection activeCell="E93" sqref="E93"/>
    </sheetView>
  </sheetViews>
  <sheetFormatPr defaultRowHeight="15" x14ac:dyDescent="0.25"/>
  <cols>
    <col min="3" max="3" width="10" customWidth="1"/>
    <col min="4" max="4" width="96.7109375" bestFit="1" customWidth="1"/>
    <col min="5" max="5" width="14.7109375" bestFit="1" customWidth="1"/>
    <col min="6" max="6" width="10.85546875" bestFit="1" customWidth="1"/>
    <col min="7" max="7" width="8.140625" bestFit="1" customWidth="1"/>
    <col min="9" max="9" width="11.7109375" customWidth="1"/>
  </cols>
  <sheetData>
    <row r="2" spans="3:13" ht="23.25" x14ac:dyDescent="0.35">
      <c r="D2" s="81" t="s">
        <v>29</v>
      </c>
      <c r="E2" t="s">
        <v>309</v>
      </c>
      <c r="F2" s="82"/>
    </row>
    <row r="3" spans="3:13" x14ac:dyDescent="0.25">
      <c r="D3" s="83" t="s">
        <v>30</v>
      </c>
      <c r="E3" s="82"/>
      <c r="F3" s="82"/>
      <c r="I3" s="84" t="s">
        <v>31</v>
      </c>
      <c r="K3" s="85" t="s">
        <v>32</v>
      </c>
      <c r="L3" s="86"/>
      <c r="M3" t="s">
        <v>33</v>
      </c>
    </row>
    <row r="4" spans="3:13" x14ac:dyDescent="0.25">
      <c r="D4" s="83" t="s">
        <v>34</v>
      </c>
      <c r="E4" s="82"/>
      <c r="F4" s="82"/>
      <c r="I4" s="84"/>
      <c r="K4" s="86"/>
      <c r="L4" s="86"/>
    </row>
    <row r="5" spans="3:13" x14ac:dyDescent="0.25">
      <c r="E5" s="82"/>
      <c r="F5" s="82"/>
      <c r="I5" s="84"/>
      <c r="K5" s="86"/>
      <c r="L5" s="86"/>
    </row>
    <row r="6" spans="3:13" x14ac:dyDescent="0.25">
      <c r="E6" s="82"/>
      <c r="F6" s="82"/>
      <c r="G6" s="2"/>
      <c r="I6" s="84"/>
      <c r="K6" s="86"/>
      <c r="L6" s="86"/>
    </row>
    <row r="7" spans="3:13" ht="20.25" x14ac:dyDescent="0.3">
      <c r="D7" s="87" t="s">
        <v>35</v>
      </c>
      <c r="E7" s="82"/>
      <c r="F7" s="82"/>
      <c r="I7" s="84"/>
      <c r="K7" s="86"/>
      <c r="L7" s="86"/>
    </row>
    <row r="8" spans="3:13" ht="15.75" thickBot="1" x14ac:dyDescent="0.3">
      <c r="E8" s="82"/>
      <c r="F8" s="82"/>
      <c r="I8" s="84"/>
      <c r="K8" s="86"/>
      <c r="L8" s="86"/>
    </row>
    <row r="9" spans="3:13" ht="18.75" thickBot="1" x14ac:dyDescent="0.3">
      <c r="C9" s="88" t="s">
        <v>36</v>
      </c>
      <c r="D9" s="89" t="s">
        <v>37</v>
      </c>
      <c r="E9" s="90" t="s">
        <v>38</v>
      </c>
      <c r="F9" s="90" t="s">
        <v>39</v>
      </c>
      <c r="G9" s="91" t="s">
        <v>40</v>
      </c>
      <c r="I9" s="143">
        <f>G18</f>
        <v>-3997.5999999999985</v>
      </c>
      <c r="J9">
        <v>1500</v>
      </c>
      <c r="K9" s="85" t="s">
        <v>41</v>
      </c>
      <c r="L9" s="92">
        <v>36</v>
      </c>
    </row>
    <row r="10" spans="3:13" x14ac:dyDescent="0.25">
      <c r="C10" s="93">
        <v>301</v>
      </c>
      <c r="D10" s="94" t="s">
        <v>42</v>
      </c>
      <c r="E10" s="95"/>
      <c r="F10" s="96">
        <v>-12000</v>
      </c>
      <c r="G10" s="97">
        <f>SUM(E10:F10)</f>
        <v>-12000</v>
      </c>
      <c r="I10" s="84"/>
      <c r="K10" s="86"/>
      <c r="L10" s="86"/>
    </row>
    <row r="11" spans="3:13" x14ac:dyDescent="0.25">
      <c r="C11" s="93">
        <v>302</v>
      </c>
      <c r="D11" s="98" t="s">
        <v>43</v>
      </c>
      <c r="E11" s="99"/>
      <c r="F11" s="100">
        <v>3000</v>
      </c>
      <c r="G11" s="97">
        <f>SUM(E11:F11)</f>
        <v>3000</v>
      </c>
      <c r="I11" s="84"/>
      <c r="K11" s="86"/>
      <c r="L11" s="86"/>
    </row>
    <row r="12" spans="3:13" x14ac:dyDescent="0.25">
      <c r="C12" s="93">
        <v>303</v>
      </c>
      <c r="D12" s="94" t="s">
        <v>44</v>
      </c>
      <c r="E12" s="99"/>
      <c r="F12" s="99">
        <f>-L9*450*1.04</f>
        <v>-16848</v>
      </c>
      <c r="G12" s="97">
        <f t="shared" ref="G12:G17" si="0">SUM(E12:F12)</f>
        <v>-16848</v>
      </c>
      <c r="I12" s="84"/>
      <c r="K12" s="86"/>
      <c r="L12" s="86"/>
    </row>
    <row r="13" spans="3:13" x14ac:dyDescent="0.25">
      <c r="C13" s="101">
        <v>304</v>
      </c>
      <c r="D13" s="94" t="s">
        <v>45</v>
      </c>
      <c r="E13" s="99"/>
      <c r="F13" s="99">
        <f>-6*450*1.04</f>
        <v>-2808</v>
      </c>
      <c r="G13" s="102">
        <f t="shared" si="0"/>
        <v>-2808</v>
      </c>
      <c r="I13" s="84"/>
      <c r="K13" s="86"/>
      <c r="L13" s="86"/>
    </row>
    <row r="14" spans="3:13" x14ac:dyDescent="0.25">
      <c r="C14" s="101">
        <v>305</v>
      </c>
      <c r="D14" s="103" t="s">
        <v>46</v>
      </c>
      <c r="E14" s="104"/>
      <c r="F14" s="104">
        <f>-(L9*70*2+500)*1.04</f>
        <v>-5761.6</v>
      </c>
      <c r="G14" s="105">
        <f t="shared" si="0"/>
        <v>-5761.6</v>
      </c>
      <c r="I14" s="84"/>
      <c r="K14" s="86"/>
      <c r="L14" s="86"/>
    </row>
    <row r="15" spans="3:13" x14ac:dyDescent="0.25">
      <c r="C15" s="101">
        <v>306</v>
      </c>
      <c r="D15" s="103" t="s">
        <v>47</v>
      </c>
      <c r="E15" s="104">
        <f>L9*M17</f>
        <v>31860</v>
      </c>
      <c r="F15" s="104"/>
      <c r="G15" s="106">
        <f t="shared" si="0"/>
        <v>31860</v>
      </c>
      <c r="I15" s="84"/>
      <c r="K15" s="86"/>
      <c r="L15" s="86"/>
    </row>
    <row r="16" spans="3:13" ht="15.75" thickBot="1" x14ac:dyDescent="0.3">
      <c r="C16" s="107">
        <v>307</v>
      </c>
      <c r="D16" s="108" t="s">
        <v>48</v>
      </c>
      <c r="E16" s="104">
        <v>0</v>
      </c>
      <c r="F16" s="104"/>
      <c r="G16" s="106">
        <f t="shared" si="0"/>
        <v>0</v>
      </c>
      <c r="I16" s="84"/>
      <c r="K16" s="86"/>
      <c r="L16" s="86"/>
    </row>
    <row r="17" spans="3:13" ht="15.75" thickBot="1" x14ac:dyDescent="0.3">
      <c r="C17" s="107">
        <v>308</v>
      </c>
      <c r="D17" s="109" t="s">
        <v>49</v>
      </c>
      <c r="E17" s="110"/>
      <c r="F17" s="110">
        <f>-(20*L9*2)</f>
        <v>-1440</v>
      </c>
      <c r="G17" s="111">
        <f t="shared" si="0"/>
        <v>-1440</v>
      </c>
      <c r="I17" s="84"/>
      <c r="K17" s="85" t="s">
        <v>50</v>
      </c>
      <c r="L17" s="112">
        <f>(ABS(SUM(F10:F17))-I9)/L9</f>
        <v>1107.0888888888887</v>
      </c>
      <c r="M17" s="28">
        <v>885</v>
      </c>
    </row>
    <row r="18" spans="3:13" ht="15.75" thickBot="1" x14ac:dyDescent="0.3">
      <c r="D18" s="113"/>
      <c r="E18" s="114">
        <f>SUM(E10:E17)</f>
        <v>31860</v>
      </c>
      <c r="F18" s="114">
        <f>SUM(F10:F17)</f>
        <v>-35857.599999999999</v>
      </c>
      <c r="G18" s="115">
        <f>SUM(G10:G17)</f>
        <v>-3997.5999999999985</v>
      </c>
      <c r="I18" s="84"/>
      <c r="K18" s="85" t="s">
        <v>51</v>
      </c>
      <c r="L18" s="116">
        <f>-(F14+F17)/L9</f>
        <v>200.04444444444445</v>
      </c>
    </row>
    <row r="19" spans="3:13" x14ac:dyDescent="0.25">
      <c r="E19" s="82"/>
      <c r="F19" s="82"/>
      <c r="I19" s="84"/>
      <c r="K19" s="86"/>
      <c r="L19" s="86"/>
    </row>
    <row r="20" spans="3:13" x14ac:dyDescent="0.25">
      <c r="E20" s="82"/>
      <c r="F20" s="82"/>
      <c r="I20" s="84"/>
      <c r="K20" s="86"/>
      <c r="L20" s="86"/>
    </row>
    <row r="21" spans="3:13" ht="20.25" x14ac:dyDescent="0.3">
      <c r="D21" s="87" t="s">
        <v>52</v>
      </c>
      <c r="E21" s="82"/>
      <c r="F21" s="82"/>
      <c r="I21" s="84"/>
      <c r="K21" s="86"/>
      <c r="L21" s="86"/>
    </row>
    <row r="22" spans="3:13" ht="15.75" thickBot="1" x14ac:dyDescent="0.3">
      <c r="E22" s="82"/>
      <c r="F22" s="82"/>
      <c r="I22" s="84"/>
      <c r="K22" s="86"/>
      <c r="L22" s="86"/>
    </row>
    <row r="23" spans="3:13" ht="18.75" thickBot="1" x14ac:dyDescent="0.3">
      <c r="C23" s="88" t="s">
        <v>36</v>
      </c>
      <c r="D23" s="89" t="s">
        <v>37</v>
      </c>
      <c r="E23" s="90" t="s">
        <v>38</v>
      </c>
      <c r="F23" s="90" t="s">
        <v>39</v>
      </c>
      <c r="G23" s="91" t="s">
        <v>40</v>
      </c>
      <c r="I23" s="84">
        <f>G32</f>
        <v>-8400</v>
      </c>
      <c r="J23">
        <v>18500</v>
      </c>
      <c r="K23" s="85" t="s">
        <v>41</v>
      </c>
      <c r="L23" s="92">
        <v>60</v>
      </c>
    </row>
    <row r="24" spans="3:13" x14ac:dyDescent="0.25">
      <c r="C24" s="93">
        <v>401</v>
      </c>
      <c r="D24" s="98" t="s">
        <v>53</v>
      </c>
      <c r="E24" s="99"/>
      <c r="F24" s="117">
        <v>-14000</v>
      </c>
      <c r="G24" s="118">
        <f t="shared" ref="G24:G30" si="1">SUM(E24:F24)</f>
        <v>-14000</v>
      </c>
      <c r="I24" s="84"/>
      <c r="K24" s="86"/>
      <c r="L24" s="86"/>
    </row>
    <row r="25" spans="3:13" x14ac:dyDescent="0.25">
      <c r="C25" s="93">
        <v>402</v>
      </c>
      <c r="D25" s="98" t="s">
        <v>54</v>
      </c>
      <c r="E25" s="99"/>
      <c r="F25" s="99">
        <v>-2500</v>
      </c>
      <c r="G25" s="119">
        <f t="shared" si="1"/>
        <v>-2500</v>
      </c>
      <c r="I25" s="84"/>
      <c r="K25" s="86"/>
      <c r="L25" s="86"/>
    </row>
    <row r="26" spans="3:13" x14ac:dyDescent="0.25">
      <c r="C26" s="101">
        <v>403</v>
      </c>
      <c r="D26" s="103" t="s">
        <v>55</v>
      </c>
      <c r="E26" s="104"/>
      <c r="F26" s="120">
        <f>-700*60</f>
        <v>-42000</v>
      </c>
      <c r="G26" s="121">
        <f t="shared" si="1"/>
        <v>-42000</v>
      </c>
      <c r="I26" s="84"/>
      <c r="K26" s="86"/>
      <c r="L26" s="86"/>
    </row>
    <row r="27" spans="3:13" x14ac:dyDescent="0.25">
      <c r="C27" s="101">
        <v>404</v>
      </c>
      <c r="D27" s="108" t="s">
        <v>56</v>
      </c>
      <c r="E27" s="104"/>
      <c r="F27" s="104">
        <f>-700*6</f>
        <v>-4200</v>
      </c>
      <c r="G27" s="122">
        <f t="shared" si="1"/>
        <v>-4200</v>
      </c>
      <c r="I27" s="84"/>
      <c r="K27" s="86"/>
      <c r="L27" s="86"/>
    </row>
    <row r="28" spans="3:13" x14ac:dyDescent="0.25">
      <c r="C28" s="101">
        <v>405</v>
      </c>
      <c r="D28" s="108" t="s">
        <v>57</v>
      </c>
      <c r="E28" s="104"/>
      <c r="F28" s="104">
        <f>-L23*65*3</f>
        <v>-11700</v>
      </c>
      <c r="G28" s="121">
        <f t="shared" si="1"/>
        <v>-11700</v>
      </c>
      <c r="I28" s="84"/>
      <c r="K28" s="86"/>
      <c r="L28" s="86"/>
    </row>
    <row r="29" spans="3:13" x14ac:dyDescent="0.25">
      <c r="C29" s="101">
        <v>406</v>
      </c>
      <c r="D29" s="103" t="s">
        <v>58</v>
      </c>
      <c r="E29" s="104">
        <f>L23*M31</f>
        <v>66000</v>
      </c>
      <c r="F29" s="104"/>
      <c r="G29" s="121">
        <f t="shared" si="1"/>
        <v>66000</v>
      </c>
      <c r="I29" s="84"/>
      <c r="K29" s="86"/>
      <c r="L29" s="86"/>
    </row>
    <row r="30" spans="3:13" ht="15.75" thickBot="1" x14ac:dyDescent="0.3">
      <c r="C30" s="101">
        <v>407</v>
      </c>
      <c r="D30" s="108" t="s">
        <v>48</v>
      </c>
      <c r="E30" s="104">
        <v>0</v>
      </c>
      <c r="F30" s="104"/>
      <c r="G30" s="121">
        <f t="shared" si="1"/>
        <v>0</v>
      </c>
      <c r="I30" s="84"/>
      <c r="K30" s="86"/>
      <c r="L30" s="86"/>
    </row>
    <row r="31" spans="3:13" ht="15.75" thickBot="1" x14ac:dyDescent="0.3">
      <c r="C31" s="107"/>
      <c r="D31" s="123"/>
      <c r="E31" s="110"/>
      <c r="F31" s="110"/>
      <c r="G31" s="124"/>
      <c r="I31" s="84"/>
      <c r="K31" s="85" t="s">
        <v>50</v>
      </c>
      <c r="L31" s="112">
        <f>(ABS(SUM(F24:F31))-I23)/L23</f>
        <v>1380</v>
      </c>
      <c r="M31">
        <v>1100</v>
      </c>
    </row>
    <row r="32" spans="3:13" ht="15.75" thickBot="1" x14ac:dyDescent="0.3">
      <c r="D32" s="113"/>
      <c r="E32" s="114">
        <f>SUM(E24:E31)</f>
        <v>66000</v>
      </c>
      <c r="F32" s="114">
        <f>SUM(F24:F31)</f>
        <v>-74400</v>
      </c>
      <c r="G32" s="125">
        <f>SUM(G24:G31)</f>
        <v>-8400</v>
      </c>
      <c r="I32" s="84"/>
      <c r="K32" s="85" t="s">
        <v>51</v>
      </c>
      <c r="L32" s="86">
        <v>195</v>
      </c>
    </row>
    <row r="33" spans="3:13" x14ac:dyDescent="0.25">
      <c r="E33" s="82"/>
      <c r="F33" s="82"/>
      <c r="G33" s="2"/>
      <c r="I33" s="84"/>
      <c r="K33" s="86"/>
      <c r="L33" s="86"/>
    </row>
    <row r="34" spans="3:13" x14ac:dyDescent="0.25">
      <c r="E34" s="82"/>
      <c r="F34" s="82"/>
      <c r="I34" s="84"/>
      <c r="K34" s="86"/>
      <c r="L34" s="86"/>
    </row>
    <row r="35" spans="3:13" ht="20.25" x14ac:dyDescent="0.3">
      <c r="D35" s="87" t="s">
        <v>59</v>
      </c>
      <c r="E35" s="82"/>
      <c r="F35" s="82"/>
      <c r="I35" s="84"/>
      <c r="K35" s="86"/>
      <c r="L35" s="86"/>
    </row>
    <row r="36" spans="3:13" ht="15.75" thickBot="1" x14ac:dyDescent="0.3">
      <c r="E36" s="82"/>
      <c r="F36" s="82"/>
      <c r="I36" s="84"/>
      <c r="K36" s="86"/>
      <c r="L36" s="86"/>
    </row>
    <row r="37" spans="3:13" ht="18.75" thickBot="1" x14ac:dyDescent="0.3">
      <c r="C37" s="88" t="s">
        <v>36</v>
      </c>
      <c r="D37" s="89" t="s">
        <v>37</v>
      </c>
      <c r="E37" s="90" t="s">
        <v>38</v>
      </c>
      <c r="F37" s="90" t="s">
        <v>39</v>
      </c>
      <c r="G37" s="91" t="s">
        <v>40</v>
      </c>
      <c r="I37" s="84">
        <f>G49</f>
        <v>-5985</v>
      </c>
      <c r="J37">
        <v>13500</v>
      </c>
      <c r="K37" s="85" t="s">
        <v>41</v>
      </c>
      <c r="L37" s="92">
        <v>40</v>
      </c>
    </row>
    <row r="38" spans="3:13" x14ac:dyDescent="0.25">
      <c r="C38" s="93">
        <v>501</v>
      </c>
      <c r="D38" s="98" t="s">
        <v>60</v>
      </c>
      <c r="E38" s="126"/>
      <c r="F38" s="127">
        <v>-15000</v>
      </c>
      <c r="G38" s="118">
        <f>SUM(E38:F38)</f>
        <v>-15000</v>
      </c>
      <c r="I38" s="84"/>
      <c r="K38" s="86"/>
      <c r="L38" s="86"/>
    </row>
    <row r="39" spans="3:13" x14ac:dyDescent="0.25">
      <c r="C39" s="93">
        <v>502</v>
      </c>
      <c r="D39" s="98" t="s">
        <v>54</v>
      </c>
      <c r="E39" s="126"/>
      <c r="F39" s="126">
        <v>-2500</v>
      </c>
      <c r="G39" s="118">
        <f>SUM(E39:F39)</f>
        <v>-2500</v>
      </c>
      <c r="I39" s="84"/>
      <c r="K39" s="86"/>
      <c r="L39" s="86"/>
    </row>
    <row r="40" spans="3:13" x14ac:dyDescent="0.25">
      <c r="C40" s="93">
        <v>503</v>
      </c>
      <c r="D40" s="98" t="s">
        <v>61</v>
      </c>
      <c r="E40" s="126"/>
      <c r="F40" s="126">
        <f>-5000</f>
        <v>-5000</v>
      </c>
      <c r="G40" s="118">
        <f t="shared" ref="G40:G45" si="2">SUM(E40:F40)</f>
        <v>-5000</v>
      </c>
      <c r="I40" s="84"/>
      <c r="K40" s="86"/>
      <c r="L40" s="86"/>
    </row>
    <row r="41" spans="3:13" x14ac:dyDescent="0.25">
      <c r="C41" s="101">
        <v>504</v>
      </c>
      <c r="D41" s="128" t="s">
        <v>62</v>
      </c>
      <c r="E41" s="129"/>
      <c r="F41" s="129">
        <f>-250*45</f>
        <v>-11250</v>
      </c>
      <c r="G41" s="121">
        <f t="shared" si="2"/>
        <v>-11250</v>
      </c>
      <c r="I41" s="84"/>
      <c r="K41" s="86"/>
      <c r="L41" s="86"/>
    </row>
    <row r="42" spans="3:13" x14ac:dyDescent="0.25">
      <c r="C42" s="101">
        <v>506</v>
      </c>
      <c r="D42" s="128" t="s">
        <v>63</v>
      </c>
      <c r="E42" s="129"/>
      <c r="F42" s="129">
        <f>-20*4*2</f>
        <v>-160</v>
      </c>
      <c r="G42" s="121">
        <f t="shared" si="2"/>
        <v>-160</v>
      </c>
      <c r="I42" s="84"/>
      <c r="K42" s="86"/>
      <c r="L42" s="86"/>
    </row>
    <row r="43" spans="3:13" x14ac:dyDescent="0.25">
      <c r="C43" s="101">
        <v>507</v>
      </c>
      <c r="D43" s="128" t="s">
        <v>64</v>
      </c>
      <c r="E43" s="129"/>
      <c r="F43" s="129">
        <f>-250*4</f>
        <v>-1000</v>
      </c>
      <c r="G43" s="121">
        <f t="shared" si="2"/>
        <v>-1000</v>
      </c>
      <c r="I43" s="84"/>
      <c r="K43" s="86"/>
      <c r="L43" s="86"/>
    </row>
    <row r="44" spans="3:13" x14ac:dyDescent="0.25">
      <c r="C44" s="101">
        <v>508</v>
      </c>
      <c r="D44" s="128" t="s">
        <v>65</v>
      </c>
      <c r="E44" s="129"/>
      <c r="F44" s="129">
        <f>-175*45</f>
        <v>-7875</v>
      </c>
      <c r="G44" s="121">
        <f t="shared" si="2"/>
        <v>-7875</v>
      </c>
      <c r="I44" s="84"/>
      <c r="K44" s="86"/>
      <c r="L44" s="86"/>
    </row>
    <row r="45" spans="3:13" x14ac:dyDescent="0.25">
      <c r="C45" s="101">
        <v>509</v>
      </c>
      <c r="D45" s="128" t="s">
        <v>66</v>
      </c>
      <c r="E45" s="129">
        <f>L37*M48</f>
        <v>36800</v>
      </c>
      <c r="F45" s="129"/>
      <c r="G45" s="121">
        <f t="shared" si="2"/>
        <v>36800</v>
      </c>
      <c r="I45" s="84"/>
      <c r="K45" s="86"/>
      <c r="L45" s="86"/>
    </row>
    <row r="46" spans="3:13" x14ac:dyDescent="0.25">
      <c r="C46" s="101">
        <v>510</v>
      </c>
      <c r="D46" s="130" t="s">
        <v>67</v>
      </c>
      <c r="E46" s="129">
        <v>0</v>
      </c>
      <c r="F46" s="108"/>
      <c r="G46" s="131">
        <v>0</v>
      </c>
      <c r="I46" s="84"/>
      <c r="K46" s="86"/>
      <c r="L46" s="86"/>
    </row>
    <row r="47" spans="3:13" ht="15.75" thickBot="1" x14ac:dyDescent="0.3">
      <c r="C47" s="132">
        <v>511</v>
      </c>
      <c r="D47" s="133" t="s">
        <v>68</v>
      </c>
      <c r="E47" s="134">
        <v>0</v>
      </c>
      <c r="F47" s="135"/>
      <c r="G47" s="136">
        <v>0</v>
      </c>
      <c r="I47" s="84"/>
      <c r="K47" s="86"/>
      <c r="L47" s="86"/>
    </row>
    <row r="48" spans="3:13" ht="15.75" thickBot="1" x14ac:dyDescent="0.3">
      <c r="C48" s="107"/>
      <c r="D48" s="123"/>
      <c r="E48" s="137"/>
      <c r="F48" s="137"/>
      <c r="G48" s="124">
        <f>SUM(E48:F48)</f>
        <v>0</v>
      </c>
      <c r="I48" s="84"/>
      <c r="K48" s="85" t="s">
        <v>50</v>
      </c>
      <c r="L48" s="112">
        <f>(ABS(SUM(F38:F48))-I37)/L37</f>
        <v>1219.25</v>
      </c>
      <c r="M48">
        <v>920</v>
      </c>
    </row>
    <row r="49" spans="3:12" ht="15.75" thickBot="1" x14ac:dyDescent="0.3">
      <c r="E49" s="82">
        <f>SUM(E38:E48)</f>
        <v>36800</v>
      </c>
      <c r="F49" s="82">
        <f>SUM(F38:F48)</f>
        <v>-42785</v>
      </c>
      <c r="G49" s="125">
        <f>SUM(G38:G48)</f>
        <v>-5985</v>
      </c>
      <c r="I49" s="84"/>
      <c r="K49" s="85" t="s">
        <v>69</v>
      </c>
      <c r="L49" s="86"/>
    </row>
    <row r="50" spans="3:12" x14ac:dyDescent="0.25">
      <c r="E50" s="82"/>
      <c r="F50" s="82"/>
      <c r="G50" s="2"/>
      <c r="I50" s="84"/>
      <c r="K50" s="86"/>
      <c r="L50" s="86"/>
    </row>
    <row r="51" spans="3:12" x14ac:dyDescent="0.25">
      <c r="E51" s="82"/>
      <c r="F51" s="82"/>
      <c r="I51" s="84"/>
      <c r="K51" s="86"/>
      <c r="L51" s="86"/>
    </row>
    <row r="52" spans="3:12" ht="20.25" x14ac:dyDescent="0.3">
      <c r="D52" s="87" t="s">
        <v>70</v>
      </c>
      <c r="E52" s="82"/>
      <c r="F52" s="82"/>
      <c r="I52" s="84"/>
      <c r="K52" s="86"/>
      <c r="L52" s="86"/>
    </row>
    <row r="53" spans="3:12" ht="15.75" thickBot="1" x14ac:dyDescent="0.3">
      <c r="E53" s="82"/>
      <c r="F53" s="82"/>
      <c r="I53" s="84"/>
      <c r="K53" s="86"/>
      <c r="L53" s="86"/>
    </row>
    <row r="54" spans="3:12" ht="18.75" thickBot="1" x14ac:dyDescent="0.3">
      <c r="C54" s="88" t="s">
        <v>36</v>
      </c>
      <c r="D54" s="89" t="s">
        <v>37</v>
      </c>
      <c r="E54" s="90" t="s">
        <v>38</v>
      </c>
      <c r="F54" s="90" t="s">
        <v>39</v>
      </c>
      <c r="G54" s="91" t="s">
        <v>40</v>
      </c>
      <c r="I54" s="84">
        <f>G67</f>
        <v>-29380</v>
      </c>
      <c r="J54">
        <v>13500</v>
      </c>
      <c r="K54" s="85" t="s">
        <v>41</v>
      </c>
      <c r="L54" s="92">
        <v>32</v>
      </c>
    </row>
    <row r="55" spans="3:12" x14ac:dyDescent="0.25">
      <c r="C55" s="93">
        <v>601</v>
      </c>
      <c r="D55" s="94" t="s">
        <v>71</v>
      </c>
      <c r="E55" s="126"/>
      <c r="F55" s="127">
        <v>-15000</v>
      </c>
      <c r="G55" s="118">
        <f>SUM(E55:F55)</f>
        <v>-15000</v>
      </c>
      <c r="I55" s="84"/>
      <c r="K55" s="86"/>
      <c r="L55" s="86"/>
    </row>
    <row r="56" spans="3:12" x14ac:dyDescent="0.25">
      <c r="C56" s="93">
        <v>602</v>
      </c>
      <c r="D56" s="94" t="s">
        <v>54</v>
      </c>
      <c r="E56" s="126"/>
      <c r="F56" s="126">
        <v>-2500</v>
      </c>
      <c r="G56" s="118">
        <f>SUM(E56:F56)</f>
        <v>-2500</v>
      </c>
      <c r="I56" s="84"/>
      <c r="K56" s="86"/>
      <c r="L56" s="86"/>
    </row>
    <row r="57" spans="3:12" x14ac:dyDescent="0.25">
      <c r="C57" s="101">
        <v>603</v>
      </c>
      <c r="D57" s="103" t="s">
        <v>72</v>
      </c>
      <c r="E57" s="129"/>
      <c r="F57" s="129">
        <f>-800*32</f>
        <v>-25600</v>
      </c>
      <c r="G57" s="121">
        <f>SUM(E57:F57)</f>
        <v>-25600</v>
      </c>
      <c r="I57" s="84"/>
      <c r="K57" s="86"/>
      <c r="L57" s="86"/>
    </row>
    <row r="58" spans="3:12" x14ac:dyDescent="0.25">
      <c r="C58" s="101">
        <v>604</v>
      </c>
      <c r="D58" s="103" t="s">
        <v>73</v>
      </c>
      <c r="E58" s="129"/>
      <c r="F58" s="129">
        <f>-800*4</f>
        <v>-3200</v>
      </c>
      <c r="G58" s="121">
        <f>SUM(E58:F58)</f>
        <v>-3200</v>
      </c>
      <c r="I58" s="84"/>
      <c r="K58" s="86"/>
      <c r="L58" s="86"/>
    </row>
    <row r="59" spans="3:12" x14ac:dyDescent="0.25">
      <c r="C59" s="101">
        <v>605</v>
      </c>
      <c r="D59" s="108" t="s">
        <v>74</v>
      </c>
      <c r="E59" s="129"/>
      <c r="F59" s="129">
        <f>-610*L54</f>
        <v>-19520</v>
      </c>
      <c r="G59" s="121">
        <f>F59</f>
        <v>-19520</v>
      </c>
      <c r="I59" s="84"/>
      <c r="K59" s="86"/>
      <c r="L59" s="86"/>
    </row>
    <row r="60" spans="3:12" x14ac:dyDescent="0.25">
      <c r="C60" s="132">
        <v>606</v>
      </c>
      <c r="D60" s="108" t="s">
        <v>75</v>
      </c>
      <c r="E60" s="129"/>
      <c r="F60" s="129">
        <f>-1000*8</f>
        <v>-8000</v>
      </c>
      <c r="G60" s="121">
        <f>F60</f>
        <v>-8000</v>
      </c>
      <c r="I60" s="84"/>
      <c r="K60" s="86"/>
      <c r="L60" s="86"/>
    </row>
    <row r="61" spans="3:12" x14ac:dyDescent="0.25">
      <c r="C61" s="132">
        <v>607</v>
      </c>
      <c r="D61" s="108" t="s">
        <v>76</v>
      </c>
      <c r="E61" s="129"/>
      <c r="F61" s="129">
        <f>-390*4</f>
        <v>-1560</v>
      </c>
      <c r="G61" s="121">
        <f>SUM(E61:F61)</f>
        <v>-1560</v>
      </c>
      <c r="I61" s="84"/>
      <c r="K61" s="86"/>
      <c r="L61" s="86"/>
    </row>
    <row r="62" spans="3:12" x14ac:dyDescent="0.25">
      <c r="C62" s="132">
        <v>608</v>
      </c>
      <c r="D62" s="103" t="s">
        <v>77</v>
      </c>
      <c r="E62" s="138">
        <f>L54*M66</f>
        <v>48000</v>
      </c>
      <c r="F62" s="129"/>
      <c r="G62" s="121">
        <f>SUM(E62:F62)</f>
        <v>48000</v>
      </c>
      <c r="I62" s="84"/>
      <c r="K62" s="86"/>
      <c r="L62" s="86"/>
    </row>
    <row r="63" spans="3:12" x14ac:dyDescent="0.25">
      <c r="C63" s="132">
        <v>609</v>
      </c>
      <c r="D63" s="133" t="s">
        <v>78</v>
      </c>
      <c r="E63" s="135">
        <v>0</v>
      </c>
      <c r="F63" s="135"/>
      <c r="G63" s="136"/>
      <c r="I63" s="84"/>
      <c r="K63" s="86"/>
      <c r="L63" s="86"/>
    </row>
    <row r="64" spans="3:12" x14ac:dyDescent="0.25">
      <c r="C64" s="132"/>
      <c r="D64" s="133"/>
      <c r="E64" s="134"/>
      <c r="F64" s="135"/>
      <c r="G64" s="136"/>
      <c r="I64" s="84"/>
      <c r="K64" s="86"/>
      <c r="L64" s="86"/>
    </row>
    <row r="65" spans="3:13" ht="15.75" thickBot="1" x14ac:dyDescent="0.3">
      <c r="C65" s="132"/>
      <c r="D65" s="133"/>
      <c r="E65" s="134"/>
      <c r="F65" s="135"/>
      <c r="G65" s="136"/>
      <c r="I65" s="84"/>
      <c r="K65" s="86"/>
      <c r="L65" s="86"/>
    </row>
    <row r="66" spans="3:13" ht="15.75" thickBot="1" x14ac:dyDescent="0.3">
      <c r="C66" s="107">
        <v>610</v>
      </c>
      <c r="D66" s="123" t="s">
        <v>79</v>
      </c>
      <c r="E66" s="137"/>
      <c r="F66" s="137">
        <v>-2000</v>
      </c>
      <c r="G66" s="121">
        <f>SUM(E66:F66)</f>
        <v>-2000</v>
      </c>
      <c r="I66" s="84"/>
      <c r="K66" s="85" t="s">
        <v>50</v>
      </c>
      <c r="L66" s="112">
        <f>(ABS(SUM(F55:F66))-I54)/L54</f>
        <v>3336.25</v>
      </c>
      <c r="M66">
        <v>1500</v>
      </c>
    </row>
    <row r="67" spans="3:13" ht="15.75" thickBot="1" x14ac:dyDescent="0.3">
      <c r="D67" s="28" t="s">
        <v>80</v>
      </c>
      <c r="E67" s="82">
        <f>SUM(E55:E66)</f>
        <v>48000</v>
      </c>
      <c r="F67" s="82">
        <f>SUM(F55:F66)</f>
        <v>-77380</v>
      </c>
      <c r="G67" s="125">
        <f>SUM(G55:G66)</f>
        <v>-29380</v>
      </c>
      <c r="I67" s="84"/>
      <c r="K67" s="85" t="s">
        <v>69</v>
      </c>
      <c r="L67" s="86"/>
    </row>
    <row r="68" spans="3:13" x14ac:dyDescent="0.25">
      <c r="D68" s="28"/>
      <c r="E68" s="82"/>
      <c r="F68" s="82"/>
      <c r="I68" s="84"/>
      <c r="K68" s="86"/>
      <c r="L68" s="86"/>
    </row>
    <row r="69" spans="3:13" x14ac:dyDescent="0.25">
      <c r="E69" s="82"/>
      <c r="F69" s="82"/>
      <c r="I69" s="84"/>
      <c r="K69" s="86"/>
      <c r="L69" s="86"/>
    </row>
    <row r="70" spans="3:13" x14ac:dyDescent="0.25">
      <c r="D70" s="28"/>
      <c r="E70" s="82"/>
      <c r="F70" s="82"/>
      <c r="I70" s="84"/>
      <c r="K70" s="86"/>
      <c r="L70" s="86"/>
    </row>
    <row r="71" spans="3:13" ht="20.25" x14ac:dyDescent="0.3">
      <c r="D71" s="87" t="s">
        <v>81</v>
      </c>
      <c r="E71" s="82"/>
      <c r="F71" s="82"/>
      <c r="I71" s="84"/>
      <c r="K71" s="86"/>
      <c r="L71" s="86"/>
    </row>
    <row r="72" spans="3:13" ht="15.75" thickBot="1" x14ac:dyDescent="0.3">
      <c r="E72" s="82"/>
      <c r="F72" s="82"/>
      <c r="I72" s="84"/>
      <c r="K72" s="86"/>
      <c r="L72" s="86"/>
    </row>
    <row r="73" spans="3:13" ht="18.75" thickBot="1" x14ac:dyDescent="0.3">
      <c r="C73" s="88" t="s">
        <v>36</v>
      </c>
      <c r="D73" s="89" t="s">
        <v>37</v>
      </c>
      <c r="E73" s="90" t="s">
        <v>38</v>
      </c>
      <c r="F73" s="90" t="s">
        <v>39</v>
      </c>
      <c r="G73" s="91" t="s">
        <v>40</v>
      </c>
      <c r="I73" s="84">
        <f>G78</f>
        <v>0</v>
      </c>
      <c r="J73">
        <v>4800</v>
      </c>
      <c r="K73" s="86"/>
      <c r="L73" s="86">
        <v>53</v>
      </c>
    </row>
    <row r="74" spans="3:13" x14ac:dyDescent="0.25">
      <c r="C74" s="93">
        <v>701</v>
      </c>
      <c r="D74" s="98" t="s">
        <v>82</v>
      </c>
      <c r="E74" s="126"/>
      <c r="F74" s="126">
        <v>0</v>
      </c>
      <c r="G74" s="118">
        <f>SUM(E74:F74)</f>
        <v>0</v>
      </c>
      <c r="I74" s="84"/>
      <c r="K74" s="86"/>
      <c r="L74" s="86"/>
    </row>
    <row r="75" spans="3:13" x14ac:dyDescent="0.25">
      <c r="C75" s="139">
        <v>702</v>
      </c>
      <c r="D75" s="140" t="s">
        <v>83</v>
      </c>
      <c r="E75" s="141"/>
      <c r="F75" s="141">
        <v>-28100</v>
      </c>
      <c r="G75" s="118">
        <f>SUM(E75:F75)</f>
        <v>-28100</v>
      </c>
      <c r="I75" s="84"/>
      <c r="K75" s="86"/>
      <c r="L75" s="86"/>
    </row>
    <row r="76" spans="3:13" x14ac:dyDescent="0.25">
      <c r="C76" s="132">
        <v>703</v>
      </c>
      <c r="D76" s="133" t="s">
        <v>84</v>
      </c>
      <c r="E76" s="135"/>
      <c r="F76" s="135">
        <v>-51700</v>
      </c>
      <c r="G76" s="118">
        <f>SUM(E76:F76)</f>
        <v>-51700</v>
      </c>
      <c r="I76" s="84"/>
      <c r="K76" s="86"/>
      <c r="L76" s="86"/>
    </row>
    <row r="77" spans="3:13" ht="15.75" thickBot="1" x14ac:dyDescent="0.3">
      <c r="C77" s="107">
        <v>704</v>
      </c>
      <c r="D77" s="109" t="s">
        <v>85</v>
      </c>
      <c r="E77" s="137">
        <f>-SUM(F74:F77)</f>
        <v>79800</v>
      </c>
      <c r="F77" s="137"/>
      <c r="G77" s="118">
        <f>SUM(E77:F77)</f>
        <v>79800</v>
      </c>
      <c r="I77" s="84"/>
      <c r="K77" s="86"/>
      <c r="L77" s="86"/>
    </row>
    <row r="78" spans="3:13" ht="15.75" thickBot="1" x14ac:dyDescent="0.3">
      <c r="E78" s="82">
        <f>SUM(E74:E77)</f>
        <v>79800</v>
      </c>
      <c r="F78" s="82">
        <f>SUM(F74:F77)</f>
        <v>-79800</v>
      </c>
      <c r="G78" s="125">
        <f>SUM(G74:G77)</f>
        <v>0</v>
      </c>
      <c r="I78" s="84"/>
      <c r="K78" s="86"/>
      <c r="L78" s="86">
        <f>G77/L73</f>
        <v>1505.6603773584907</v>
      </c>
    </row>
    <row r="79" spans="3:13" x14ac:dyDescent="0.25">
      <c r="E79" s="82"/>
      <c r="F79" s="82"/>
      <c r="G79" s="2"/>
      <c r="I79" s="84"/>
      <c r="K79" s="86"/>
      <c r="L79" s="86"/>
    </row>
    <row r="80" spans="3:13" x14ac:dyDescent="0.25">
      <c r="E80" s="82"/>
      <c r="F80" s="82"/>
      <c r="I80" s="84"/>
      <c r="K80" s="86"/>
      <c r="L80" s="86"/>
    </row>
    <row r="81" spans="3:12" ht="20.25" x14ac:dyDescent="0.3">
      <c r="D81" s="87" t="s">
        <v>102</v>
      </c>
      <c r="E81" s="82"/>
      <c r="F81" s="82"/>
      <c r="I81" s="84"/>
      <c r="K81" s="86"/>
      <c r="L81" s="86"/>
    </row>
    <row r="82" spans="3:12" ht="15.75" thickBot="1" x14ac:dyDescent="0.3">
      <c r="E82" s="82"/>
      <c r="F82" s="82"/>
      <c r="I82" s="84"/>
      <c r="K82" s="86"/>
      <c r="L82" s="86"/>
    </row>
    <row r="83" spans="3:12" ht="18.75" thickBot="1" x14ac:dyDescent="0.3">
      <c r="C83" s="88" t="s">
        <v>36</v>
      </c>
      <c r="D83" s="89" t="s">
        <v>37</v>
      </c>
      <c r="E83" s="90" t="s">
        <v>38</v>
      </c>
      <c r="F83" s="90" t="s">
        <v>39</v>
      </c>
      <c r="G83" s="91" t="s">
        <v>40</v>
      </c>
      <c r="I83" s="84">
        <f>G92</f>
        <v>-6000</v>
      </c>
      <c r="J83">
        <v>1000</v>
      </c>
      <c r="K83" s="86"/>
      <c r="L83" s="86"/>
    </row>
    <row r="84" spans="3:12" x14ac:dyDescent="0.25">
      <c r="C84" s="93">
        <v>801</v>
      </c>
      <c r="D84" s="94" t="s">
        <v>103</v>
      </c>
      <c r="E84" s="126"/>
      <c r="F84" s="126">
        <v>-2000</v>
      </c>
      <c r="G84" s="118">
        <f>SUM(E84:F84)</f>
        <v>-2000</v>
      </c>
      <c r="I84" s="84"/>
      <c r="K84" s="86"/>
      <c r="L84" s="86"/>
    </row>
    <row r="85" spans="3:12" x14ac:dyDescent="0.25">
      <c r="C85" s="101">
        <v>802</v>
      </c>
      <c r="D85" s="108" t="s">
        <v>87</v>
      </c>
      <c r="E85" s="129"/>
      <c r="F85" s="129">
        <v>-1000</v>
      </c>
      <c r="G85" s="121">
        <f>SUM(E85:F85)</f>
        <v>-1000</v>
      </c>
      <c r="I85" s="84"/>
      <c r="K85" s="86"/>
      <c r="L85" s="86"/>
    </row>
    <row r="86" spans="3:12" x14ac:dyDescent="0.25">
      <c r="C86" s="101">
        <v>803</v>
      </c>
      <c r="D86" s="108" t="s">
        <v>88</v>
      </c>
      <c r="E86" s="129"/>
      <c r="F86" s="129">
        <v>0</v>
      </c>
      <c r="G86" s="121">
        <f>SUM(E86:F86)</f>
        <v>0</v>
      </c>
      <c r="I86" s="84"/>
      <c r="K86" s="86"/>
      <c r="L86" s="86"/>
    </row>
    <row r="87" spans="3:12" x14ac:dyDescent="0.25">
      <c r="C87" s="93">
        <v>804</v>
      </c>
      <c r="D87" s="108" t="s">
        <v>89</v>
      </c>
      <c r="E87" s="129"/>
      <c r="F87" s="129">
        <v>-2000</v>
      </c>
      <c r="G87" s="121">
        <f>SUM(E87:F87)</f>
        <v>-2000</v>
      </c>
      <c r="I87" s="84"/>
      <c r="K87" s="86"/>
      <c r="L87" s="86"/>
    </row>
    <row r="88" spans="3:12" x14ac:dyDescent="0.25">
      <c r="C88" s="101">
        <v>805</v>
      </c>
      <c r="D88" s="255" t="s">
        <v>300</v>
      </c>
      <c r="E88" s="135">
        <v>5000</v>
      </c>
      <c r="F88" s="135"/>
      <c r="G88" s="121">
        <f t="shared" ref="G88:G89" si="3">SUM(E88:F88)</f>
        <v>5000</v>
      </c>
      <c r="I88" s="84"/>
      <c r="K88" s="86"/>
      <c r="L88" s="86"/>
    </row>
    <row r="89" spans="3:12" x14ac:dyDescent="0.25">
      <c r="C89" s="132">
        <v>806</v>
      </c>
      <c r="D89" s="133" t="s">
        <v>310</v>
      </c>
      <c r="E89" s="135"/>
      <c r="F89" s="135">
        <v>-5000</v>
      </c>
      <c r="G89" s="121">
        <f t="shared" si="3"/>
        <v>-5000</v>
      </c>
      <c r="I89" s="84"/>
      <c r="K89" s="86"/>
      <c r="L89" s="86"/>
    </row>
    <row r="90" spans="3:12" x14ac:dyDescent="0.25">
      <c r="C90" s="132"/>
      <c r="D90" s="133"/>
      <c r="E90" s="135"/>
      <c r="F90" s="135"/>
      <c r="G90" s="136"/>
      <c r="I90" s="84"/>
      <c r="K90" s="86"/>
      <c r="L90" s="86"/>
    </row>
    <row r="91" spans="3:12" ht="15.75" thickBot="1" x14ac:dyDescent="0.3">
      <c r="C91" s="107">
        <v>807</v>
      </c>
      <c r="D91" s="123" t="s">
        <v>90</v>
      </c>
      <c r="E91" s="137"/>
      <c r="F91" s="137">
        <v>-1000</v>
      </c>
      <c r="G91" s="124">
        <f>SUM(E91:F91)</f>
        <v>-1000</v>
      </c>
      <c r="I91" s="84"/>
      <c r="K91" s="86"/>
      <c r="L91" s="86"/>
    </row>
    <row r="92" spans="3:12" ht="15.75" thickBot="1" x14ac:dyDescent="0.3">
      <c r="E92" s="82"/>
      <c r="F92" s="82"/>
      <c r="G92" s="125">
        <f>SUM(G84:G91)</f>
        <v>-6000</v>
      </c>
      <c r="I92" s="84"/>
      <c r="K92" s="86"/>
      <c r="L92" s="86"/>
    </row>
    <row r="93" spans="3:12" x14ac:dyDescent="0.25">
      <c r="E93" s="82"/>
      <c r="F93" s="82"/>
      <c r="G93" s="2"/>
      <c r="I93" s="84"/>
    </row>
    <row r="94" spans="3:12" x14ac:dyDescent="0.25">
      <c r="E94" s="82"/>
      <c r="F94" s="82"/>
      <c r="G94" s="2"/>
      <c r="I94" s="84"/>
    </row>
    <row r="95" spans="3:12" x14ac:dyDescent="0.25">
      <c r="E95" s="82"/>
      <c r="F95" s="82" t="s">
        <v>91</v>
      </c>
      <c r="G95" s="142">
        <f>G18+G32+G49+G78+G67+G92</f>
        <v>-53762.6</v>
      </c>
      <c r="I95" s="84"/>
    </row>
    <row r="97" spans="3:9" ht="20.25" x14ac:dyDescent="0.3">
      <c r="D97" s="87" t="s">
        <v>93</v>
      </c>
      <c r="E97" s="82"/>
      <c r="F97" s="82"/>
    </row>
    <row r="98" spans="3:9" ht="15.75" thickBot="1" x14ac:dyDescent="0.3">
      <c r="E98" s="82"/>
      <c r="F98" s="82"/>
    </row>
    <row r="99" spans="3:9" ht="18.75" thickBot="1" x14ac:dyDescent="0.3">
      <c r="C99" s="88" t="s">
        <v>36</v>
      </c>
      <c r="D99" s="89" t="s">
        <v>37</v>
      </c>
      <c r="E99" s="90" t="s">
        <v>38</v>
      </c>
      <c r="F99" s="90" t="s">
        <v>39</v>
      </c>
      <c r="G99" s="91" t="s">
        <v>40</v>
      </c>
      <c r="I99" s="84">
        <f>G105</f>
        <v>7000</v>
      </c>
    </row>
    <row r="100" spans="3:9" x14ac:dyDescent="0.25">
      <c r="C100" s="93">
        <v>3177</v>
      </c>
      <c r="D100" s="94" t="s">
        <v>94</v>
      </c>
      <c r="E100" s="126">
        <v>23000</v>
      </c>
      <c r="F100" s="126"/>
      <c r="G100" s="118">
        <f>SUM(E100:F100)</f>
        <v>23000</v>
      </c>
      <c r="I100" s="84"/>
    </row>
    <row r="101" spans="3:9" x14ac:dyDescent="0.25">
      <c r="C101" s="101">
        <v>4177</v>
      </c>
      <c r="D101" s="103" t="s">
        <v>95</v>
      </c>
      <c r="E101" s="129"/>
      <c r="F101" s="129">
        <v>-15000</v>
      </c>
      <c r="G101" s="121">
        <f>SUM(E101:F101)</f>
        <v>-15000</v>
      </c>
      <c r="I101" s="84"/>
    </row>
    <row r="102" spans="3:9" x14ac:dyDescent="0.25">
      <c r="C102" s="101">
        <v>4177</v>
      </c>
      <c r="D102" s="103" t="s">
        <v>92</v>
      </c>
      <c r="E102" s="129"/>
      <c r="F102" s="129">
        <v>-500</v>
      </c>
      <c r="G102" s="121">
        <f>SUM(E102:F102)</f>
        <v>-500</v>
      </c>
      <c r="I102" s="84"/>
    </row>
    <row r="103" spans="3:9" x14ac:dyDescent="0.25">
      <c r="C103" s="101" t="s">
        <v>304</v>
      </c>
      <c r="D103" s="103" t="s">
        <v>302</v>
      </c>
      <c r="E103" s="129">
        <v>500</v>
      </c>
      <c r="F103" s="129">
        <v>-1000</v>
      </c>
      <c r="G103" s="121">
        <f>SUM(E103:F103)</f>
        <v>-500</v>
      </c>
      <c r="I103" s="84"/>
    </row>
    <row r="104" spans="3:9" ht="15.75" thickBot="1" x14ac:dyDescent="0.3">
      <c r="C104" s="101"/>
      <c r="D104" s="123"/>
      <c r="E104" s="137"/>
      <c r="F104" s="137"/>
      <c r="G104" s="124"/>
      <c r="I104" s="84"/>
    </row>
    <row r="105" spans="3:9" ht="15.75" thickBot="1" x14ac:dyDescent="0.3">
      <c r="E105" s="82"/>
      <c r="F105" s="82"/>
      <c r="G105" s="125">
        <f>SUM(G100:G104)</f>
        <v>7000</v>
      </c>
      <c r="I105" s="84"/>
    </row>
    <row r="106" spans="3:9" x14ac:dyDescent="0.25">
      <c r="I106" s="84"/>
    </row>
    <row r="107" spans="3:9" x14ac:dyDescent="0.25">
      <c r="I107" s="84"/>
    </row>
    <row r="108" spans="3:9" x14ac:dyDescent="0.25">
      <c r="I108" s="84"/>
    </row>
    <row r="109" spans="3:9" ht="20.25" x14ac:dyDescent="0.3">
      <c r="D109" s="87" t="s">
        <v>96</v>
      </c>
      <c r="E109" s="82"/>
      <c r="F109" s="82"/>
      <c r="I109" s="84"/>
    </row>
    <row r="110" spans="3:9" ht="15.75" thickBot="1" x14ac:dyDescent="0.3">
      <c r="E110" s="82"/>
      <c r="F110" s="82"/>
      <c r="I110" s="84"/>
    </row>
    <row r="111" spans="3:9" ht="18.75" thickBot="1" x14ac:dyDescent="0.3">
      <c r="C111" s="88" t="s">
        <v>36</v>
      </c>
      <c r="D111" s="89" t="s">
        <v>37</v>
      </c>
      <c r="E111" s="90" t="s">
        <v>38</v>
      </c>
      <c r="F111" s="90" t="s">
        <v>39</v>
      </c>
      <c r="G111" s="91" t="s">
        <v>40</v>
      </c>
      <c r="I111" s="84">
        <f>G117</f>
        <v>5000</v>
      </c>
    </row>
    <row r="112" spans="3:9" x14ac:dyDescent="0.25">
      <c r="C112" s="93">
        <v>3178</v>
      </c>
      <c r="D112" s="94" t="s">
        <v>97</v>
      </c>
      <c r="E112" s="126">
        <v>81000</v>
      </c>
      <c r="F112" s="126"/>
      <c r="G112" s="121">
        <f t="shared" ref="G112:G114" si="4">SUM(E112:F112)</f>
        <v>81000</v>
      </c>
      <c r="I112" s="84"/>
    </row>
    <row r="113" spans="3:9" x14ac:dyDescent="0.25">
      <c r="C113" s="101">
        <v>4178</v>
      </c>
      <c r="D113" s="103" t="s">
        <v>5</v>
      </c>
      <c r="E113" s="129"/>
      <c r="F113" s="129">
        <v>-60000</v>
      </c>
      <c r="G113" s="121">
        <f t="shared" si="4"/>
        <v>-60000</v>
      </c>
      <c r="I113" s="84"/>
    </row>
    <row r="114" spans="3:9" ht="15.75" thickBot="1" x14ac:dyDescent="0.3">
      <c r="C114" s="101">
        <v>4178</v>
      </c>
      <c r="D114" s="123" t="s">
        <v>98</v>
      </c>
      <c r="E114" s="129"/>
      <c r="F114" s="129">
        <v>-16000</v>
      </c>
      <c r="G114" s="121">
        <f t="shared" si="4"/>
        <v>-16000</v>
      </c>
      <c r="I114" s="84"/>
    </row>
    <row r="115" spans="3:9" x14ac:dyDescent="0.25">
      <c r="C115" s="101"/>
      <c r="D115" s="103"/>
      <c r="E115" s="129"/>
      <c r="F115" s="129"/>
      <c r="G115" s="121">
        <f>SUM(E115:F115)</f>
        <v>0</v>
      </c>
      <c r="I115" s="84"/>
    </row>
    <row r="116" spans="3:9" ht="15.75" thickBot="1" x14ac:dyDescent="0.3">
      <c r="C116" s="101"/>
      <c r="D116" s="123"/>
      <c r="E116" s="137"/>
      <c r="F116" s="137"/>
      <c r="G116" s="124"/>
      <c r="I116" s="84"/>
    </row>
    <row r="117" spans="3:9" ht="15.75" thickBot="1" x14ac:dyDescent="0.3">
      <c r="E117" s="82"/>
      <c r="F117" s="82"/>
      <c r="G117" s="125">
        <f>SUM(G112:G116)</f>
        <v>5000</v>
      </c>
      <c r="I117" s="84"/>
    </row>
    <row r="118" spans="3:9" x14ac:dyDescent="0.25">
      <c r="I118" s="84"/>
    </row>
    <row r="119" spans="3:9" x14ac:dyDescent="0.25">
      <c r="I119" s="84"/>
    </row>
    <row r="120" spans="3:9" ht="20.25" x14ac:dyDescent="0.3">
      <c r="D120" s="87" t="s">
        <v>99</v>
      </c>
      <c r="E120" s="82"/>
      <c r="F120" s="82"/>
      <c r="I120" s="84"/>
    </row>
    <row r="121" spans="3:9" ht="15.75" thickBot="1" x14ac:dyDescent="0.3">
      <c r="E121" s="82"/>
      <c r="F121" s="82"/>
      <c r="I121" s="84"/>
    </row>
    <row r="122" spans="3:9" ht="18.75" thickBot="1" x14ac:dyDescent="0.3">
      <c r="C122" s="88" t="s">
        <v>36</v>
      </c>
      <c r="D122" s="89" t="s">
        <v>37</v>
      </c>
      <c r="E122" s="90" t="s">
        <v>38</v>
      </c>
      <c r="F122" s="90" t="s">
        <v>39</v>
      </c>
      <c r="G122" s="91" t="s">
        <v>40</v>
      </c>
      <c r="I122" s="84">
        <f>G128</f>
        <v>-10000</v>
      </c>
    </row>
    <row r="123" spans="3:9" x14ac:dyDescent="0.25">
      <c r="C123" s="93">
        <v>7610</v>
      </c>
      <c r="D123" s="94" t="s">
        <v>100</v>
      </c>
      <c r="E123" s="126"/>
      <c r="F123" s="126">
        <v>-10000</v>
      </c>
      <c r="G123" s="121">
        <f t="shared" ref="G123:G125" si="5">SUM(E123:F123)</f>
        <v>-10000</v>
      </c>
      <c r="I123" s="84"/>
    </row>
    <row r="124" spans="3:9" x14ac:dyDescent="0.25">
      <c r="C124" s="101"/>
      <c r="D124" s="103"/>
      <c r="E124" s="129"/>
      <c r="F124" s="129"/>
      <c r="G124" s="121">
        <f t="shared" si="5"/>
        <v>0</v>
      </c>
      <c r="I124" s="84"/>
    </row>
    <row r="125" spans="3:9" ht="15.75" thickBot="1" x14ac:dyDescent="0.3">
      <c r="C125" s="101"/>
      <c r="D125" s="123"/>
      <c r="E125" s="129"/>
      <c r="F125" s="129"/>
      <c r="G125" s="121">
        <f t="shared" si="5"/>
        <v>0</v>
      </c>
      <c r="I125" s="84"/>
    </row>
    <row r="126" spans="3:9" x14ac:dyDescent="0.25">
      <c r="C126" s="101"/>
      <c r="D126" s="103"/>
      <c r="E126" s="129"/>
      <c r="F126" s="129"/>
      <c r="G126" s="121">
        <f>SUM(E126:F126)</f>
        <v>0</v>
      </c>
      <c r="I126" s="84"/>
    </row>
    <row r="127" spans="3:9" ht="15.75" thickBot="1" x14ac:dyDescent="0.3">
      <c r="C127" s="101"/>
      <c r="D127" s="123"/>
      <c r="E127" s="137"/>
      <c r="F127" s="137"/>
      <c r="G127" s="124"/>
      <c r="I127" s="84"/>
    </row>
    <row r="128" spans="3:9" ht="15.75" thickBot="1" x14ac:dyDescent="0.3">
      <c r="E128" s="82"/>
      <c r="F128" s="82"/>
      <c r="G128" s="125">
        <f>SUM(G123:G127)</f>
        <v>-10000</v>
      </c>
      <c r="I128" s="84"/>
    </row>
    <row r="129" spans="9:9" x14ac:dyDescent="0.25">
      <c r="I129" s="84"/>
    </row>
    <row r="130" spans="9:9" x14ac:dyDescent="0.25">
      <c r="I130" s="84"/>
    </row>
    <row r="131" spans="9:9" x14ac:dyDescent="0.25">
      <c r="I131" s="84"/>
    </row>
    <row r="132" spans="9:9" x14ac:dyDescent="0.25">
      <c r="I132" s="143">
        <f>SUM(I9:I131)</f>
        <v>-51762.6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CF92"/>
  <sheetViews>
    <sheetView topLeftCell="A71" zoomScale="110" zoomScaleNormal="110" workbookViewId="0">
      <selection activeCell="BW18" sqref="BW18"/>
    </sheetView>
  </sheetViews>
  <sheetFormatPr defaultRowHeight="12.75" x14ac:dyDescent="0.2"/>
  <cols>
    <col min="1" max="1" width="8.42578125" style="146" customWidth="1"/>
    <col min="2" max="2" width="45.5703125" style="146" customWidth="1"/>
    <col min="3" max="3" width="13.28515625" style="148" customWidth="1"/>
    <col min="4" max="4" width="10.5703125" style="148" customWidth="1"/>
    <col min="5" max="5" width="7.7109375" style="146" customWidth="1"/>
    <col min="6" max="6" width="8.42578125" style="148" customWidth="1"/>
    <col min="7" max="7" width="12.5703125" style="148" customWidth="1"/>
    <col min="8" max="8" width="7.85546875" style="146" customWidth="1"/>
    <col min="9" max="9" width="45" style="146" customWidth="1"/>
    <col min="10" max="10" width="13.28515625" style="148" customWidth="1"/>
    <col min="11" max="11" width="11" style="148" customWidth="1"/>
    <col min="12" max="12" width="7.5703125" style="146" customWidth="1"/>
    <col min="13" max="13" width="8.85546875" style="146"/>
    <col min="14" max="14" width="8" style="146" customWidth="1"/>
    <col min="15" max="15" width="43.42578125" style="146" customWidth="1"/>
    <col min="16" max="16" width="13.7109375" style="146" customWidth="1"/>
    <col min="17" max="17" width="10.85546875" style="146" customWidth="1"/>
    <col min="18" max="18" width="7.5703125" style="146" customWidth="1"/>
    <col min="19" max="19" width="8.85546875" style="146"/>
    <col min="20" max="20" width="8.28515625" style="146" customWidth="1"/>
    <col min="21" max="21" width="48.28515625" style="146" customWidth="1"/>
    <col min="22" max="22" width="13.28515625" style="146" customWidth="1"/>
    <col min="23" max="23" width="10.28515625" style="146" customWidth="1"/>
    <col min="24" max="24" width="14.85546875" style="146" customWidth="1"/>
    <col min="25" max="25" width="11.5703125" style="146" customWidth="1"/>
    <col min="26" max="26" width="8.85546875" style="146"/>
    <col min="27" max="27" width="9.28515625" style="146" customWidth="1"/>
    <col min="28" max="28" width="59.7109375" style="146" customWidth="1"/>
    <col min="29" max="29" width="14.140625" style="146" customWidth="1"/>
    <col min="30" max="30" width="12.85546875" style="146" customWidth="1"/>
    <col min="31" max="31" width="17.28515625" style="146" customWidth="1"/>
    <col min="32" max="33" width="8.85546875" style="146"/>
    <col min="34" max="34" width="9.28515625" style="146" customWidth="1"/>
    <col min="35" max="35" width="59.7109375" style="146" customWidth="1"/>
    <col min="36" max="36" width="14.140625" style="146" customWidth="1"/>
    <col min="37" max="37" width="12.85546875" style="146" customWidth="1"/>
    <col min="38" max="38" width="17.28515625" style="146" customWidth="1"/>
    <col min="39" max="39" width="8.85546875" style="146"/>
    <col min="40" max="40" width="10.85546875" style="146" customWidth="1"/>
    <col min="41" max="41" width="8.85546875" style="146"/>
    <col min="42" max="42" width="15.42578125" style="146" customWidth="1"/>
    <col min="43" max="43" width="11.5703125" style="146" customWidth="1"/>
    <col min="44" max="45" width="8.85546875" style="146"/>
    <col min="46" max="46" width="9.28515625" style="146" customWidth="1"/>
    <col min="47" max="47" width="59.7109375" style="146" customWidth="1"/>
    <col min="48" max="48" width="14.140625" style="146" customWidth="1"/>
    <col min="49" max="49" width="12.85546875" style="146" customWidth="1"/>
    <col min="50" max="50" width="17.28515625" style="146" customWidth="1"/>
    <col min="51" max="51" width="8.85546875" style="146"/>
    <col min="52" max="52" width="10.85546875" style="146" customWidth="1"/>
    <col min="53" max="53" width="8.85546875" style="146"/>
    <col min="54" max="54" width="15.42578125" style="146" customWidth="1"/>
    <col min="55" max="55" width="11.5703125" style="146" customWidth="1"/>
    <col min="56" max="57" width="8.85546875" style="146"/>
    <col min="58" max="58" width="9.28515625" style="146" customWidth="1"/>
    <col min="59" max="59" width="59.7109375" style="146" customWidth="1"/>
    <col min="60" max="60" width="14.140625" style="146" customWidth="1"/>
    <col min="61" max="61" width="12.85546875" style="146" customWidth="1"/>
    <col min="62" max="62" width="17.28515625" style="146" customWidth="1"/>
    <col min="63" max="63" width="8.85546875" style="146"/>
    <col min="64" max="64" width="10.85546875" style="146" customWidth="1"/>
    <col min="65" max="65" width="8.85546875" style="146"/>
    <col min="66" max="66" width="15.42578125" style="146" customWidth="1"/>
    <col min="67" max="67" width="11.5703125" style="146" customWidth="1"/>
    <col min="68" max="72" width="8.85546875" style="146"/>
    <col min="73" max="73" width="68.5703125" style="146" customWidth="1"/>
    <col min="74" max="74" width="14" style="146" bestFit="1" customWidth="1"/>
    <col min="75" max="75" width="10.28515625" style="146" bestFit="1" customWidth="1"/>
    <col min="76" max="76" width="7.7109375" style="146" bestFit="1" customWidth="1"/>
    <col min="77" max="77" width="8.85546875" style="146"/>
    <col min="78" max="78" width="11" style="146" bestFit="1" customWidth="1"/>
    <col min="79" max="81" width="8.85546875" style="146"/>
    <col min="82" max="82" width="11.85546875" style="146" bestFit="1" customWidth="1"/>
    <col min="83" max="256" width="8.85546875" style="146"/>
    <col min="257" max="257" width="8.42578125" style="146" customWidth="1"/>
    <col min="258" max="258" width="45.5703125" style="146" customWidth="1"/>
    <col min="259" max="259" width="13.28515625" style="146" customWidth="1"/>
    <col min="260" max="260" width="10.5703125" style="146" customWidth="1"/>
    <col min="261" max="261" width="7.7109375" style="146" customWidth="1"/>
    <col min="262" max="262" width="8.42578125" style="146" customWidth="1"/>
    <col min="263" max="263" width="12.5703125" style="146" customWidth="1"/>
    <col min="264" max="264" width="7.85546875" style="146" customWidth="1"/>
    <col min="265" max="265" width="45" style="146" customWidth="1"/>
    <col min="266" max="266" width="13.28515625" style="146" customWidth="1"/>
    <col min="267" max="267" width="11" style="146" customWidth="1"/>
    <col min="268" max="268" width="7.5703125" style="146" customWidth="1"/>
    <col min="269" max="269" width="8.85546875" style="146"/>
    <col min="270" max="270" width="8" style="146" customWidth="1"/>
    <col min="271" max="271" width="43.42578125" style="146" customWidth="1"/>
    <col min="272" max="272" width="13.7109375" style="146" customWidth="1"/>
    <col min="273" max="273" width="10.85546875" style="146" customWidth="1"/>
    <col min="274" max="274" width="7.5703125" style="146" customWidth="1"/>
    <col min="275" max="275" width="8.85546875" style="146"/>
    <col min="276" max="276" width="8.28515625" style="146" customWidth="1"/>
    <col min="277" max="277" width="48.28515625" style="146" customWidth="1"/>
    <col min="278" max="278" width="13.28515625" style="146" customWidth="1"/>
    <col min="279" max="279" width="10.28515625" style="146" customWidth="1"/>
    <col min="280" max="280" width="14.85546875" style="146" customWidth="1"/>
    <col min="281" max="281" width="11.5703125" style="146" customWidth="1"/>
    <col min="282" max="282" width="8.85546875" style="146"/>
    <col min="283" max="283" width="9.28515625" style="146" customWidth="1"/>
    <col min="284" max="284" width="59.7109375" style="146" customWidth="1"/>
    <col min="285" max="285" width="14.140625" style="146" customWidth="1"/>
    <col min="286" max="286" width="12.85546875" style="146" customWidth="1"/>
    <col min="287" max="287" width="17.28515625" style="146" customWidth="1"/>
    <col min="288" max="289" width="8.85546875" style="146"/>
    <col min="290" max="290" width="9.28515625" style="146" customWidth="1"/>
    <col min="291" max="291" width="59.7109375" style="146" customWidth="1"/>
    <col min="292" max="292" width="14.140625" style="146" customWidth="1"/>
    <col min="293" max="293" width="12.85546875" style="146" customWidth="1"/>
    <col min="294" max="294" width="17.28515625" style="146" customWidth="1"/>
    <col min="295" max="295" width="8.85546875" style="146"/>
    <col min="296" max="296" width="10.85546875" style="146" customWidth="1"/>
    <col min="297" max="297" width="8.85546875" style="146"/>
    <col min="298" max="298" width="15.42578125" style="146" customWidth="1"/>
    <col min="299" max="299" width="11.5703125" style="146" customWidth="1"/>
    <col min="300" max="301" width="8.85546875" style="146"/>
    <col min="302" max="302" width="9.28515625" style="146" customWidth="1"/>
    <col min="303" max="303" width="59.7109375" style="146" customWidth="1"/>
    <col min="304" max="304" width="14.140625" style="146" customWidth="1"/>
    <col min="305" max="305" width="12.85546875" style="146" customWidth="1"/>
    <col min="306" max="306" width="17.28515625" style="146" customWidth="1"/>
    <col min="307" max="307" width="8.85546875" style="146"/>
    <col min="308" max="308" width="10.85546875" style="146" customWidth="1"/>
    <col min="309" max="309" width="8.85546875" style="146"/>
    <col min="310" max="310" width="15.42578125" style="146" customWidth="1"/>
    <col min="311" max="311" width="11.5703125" style="146" customWidth="1"/>
    <col min="312" max="313" width="8.85546875" style="146"/>
    <col min="314" max="314" width="9.28515625" style="146" customWidth="1"/>
    <col min="315" max="315" width="59.7109375" style="146" customWidth="1"/>
    <col min="316" max="316" width="14.140625" style="146" customWidth="1"/>
    <col min="317" max="317" width="12.85546875" style="146" customWidth="1"/>
    <col min="318" max="318" width="17.28515625" style="146" customWidth="1"/>
    <col min="319" max="319" width="8.85546875" style="146"/>
    <col min="320" max="320" width="10.85546875" style="146" customWidth="1"/>
    <col min="321" max="321" width="8.85546875" style="146"/>
    <col min="322" max="322" width="15.42578125" style="146" customWidth="1"/>
    <col min="323" max="323" width="11.5703125" style="146" customWidth="1"/>
    <col min="324" max="328" width="8.85546875" style="146"/>
    <col min="329" max="329" width="68.5703125" style="146" customWidth="1"/>
    <col min="330" max="330" width="14" style="146" bestFit="1" customWidth="1"/>
    <col min="331" max="331" width="10.28515625" style="146" bestFit="1" customWidth="1"/>
    <col min="332" max="332" width="7.7109375" style="146" bestFit="1" customWidth="1"/>
    <col min="333" max="333" width="8.85546875" style="146"/>
    <col min="334" max="334" width="11" style="146" bestFit="1" customWidth="1"/>
    <col min="335" max="337" width="8.85546875" style="146"/>
    <col min="338" max="338" width="11.85546875" style="146" bestFit="1" customWidth="1"/>
    <col min="339" max="512" width="8.85546875" style="146"/>
    <col min="513" max="513" width="8.42578125" style="146" customWidth="1"/>
    <col min="514" max="514" width="45.5703125" style="146" customWidth="1"/>
    <col min="515" max="515" width="13.28515625" style="146" customWidth="1"/>
    <col min="516" max="516" width="10.5703125" style="146" customWidth="1"/>
    <col min="517" max="517" width="7.7109375" style="146" customWidth="1"/>
    <col min="518" max="518" width="8.42578125" style="146" customWidth="1"/>
    <col min="519" max="519" width="12.5703125" style="146" customWidth="1"/>
    <col min="520" max="520" width="7.85546875" style="146" customWidth="1"/>
    <col min="521" max="521" width="45" style="146" customWidth="1"/>
    <col min="522" max="522" width="13.28515625" style="146" customWidth="1"/>
    <col min="523" max="523" width="11" style="146" customWidth="1"/>
    <col min="524" max="524" width="7.5703125" style="146" customWidth="1"/>
    <col min="525" max="525" width="8.85546875" style="146"/>
    <col min="526" max="526" width="8" style="146" customWidth="1"/>
    <col min="527" max="527" width="43.42578125" style="146" customWidth="1"/>
    <col min="528" max="528" width="13.7109375" style="146" customWidth="1"/>
    <col min="529" max="529" width="10.85546875" style="146" customWidth="1"/>
    <col min="530" max="530" width="7.5703125" style="146" customWidth="1"/>
    <col min="531" max="531" width="8.85546875" style="146"/>
    <col min="532" max="532" width="8.28515625" style="146" customWidth="1"/>
    <col min="533" max="533" width="48.28515625" style="146" customWidth="1"/>
    <col min="534" max="534" width="13.28515625" style="146" customWidth="1"/>
    <col min="535" max="535" width="10.28515625" style="146" customWidth="1"/>
    <col min="536" max="536" width="14.85546875" style="146" customWidth="1"/>
    <col min="537" max="537" width="11.5703125" style="146" customWidth="1"/>
    <col min="538" max="538" width="8.85546875" style="146"/>
    <col min="539" max="539" width="9.28515625" style="146" customWidth="1"/>
    <col min="540" max="540" width="59.7109375" style="146" customWidth="1"/>
    <col min="541" max="541" width="14.140625" style="146" customWidth="1"/>
    <col min="542" max="542" width="12.85546875" style="146" customWidth="1"/>
    <col min="543" max="543" width="17.28515625" style="146" customWidth="1"/>
    <col min="544" max="545" width="8.85546875" style="146"/>
    <col min="546" max="546" width="9.28515625" style="146" customWidth="1"/>
    <col min="547" max="547" width="59.7109375" style="146" customWidth="1"/>
    <col min="548" max="548" width="14.140625" style="146" customWidth="1"/>
    <col min="549" max="549" width="12.85546875" style="146" customWidth="1"/>
    <col min="550" max="550" width="17.28515625" style="146" customWidth="1"/>
    <col min="551" max="551" width="8.85546875" style="146"/>
    <col min="552" max="552" width="10.85546875" style="146" customWidth="1"/>
    <col min="553" max="553" width="8.85546875" style="146"/>
    <col min="554" max="554" width="15.42578125" style="146" customWidth="1"/>
    <col min="555" max="555" width="11.5703125" style="146" customWidth="1"/>
    <col min="556" max="557" width="8.85546875" style="146"/>
    <col min="558" max="558" width="9.28515625" style="146" customWidth="1"/>
    <col min="559" max="559" width="59.7109375" style="146" customWidth="1"/>
    <col min="560" max="560" width="14.140625" style="146" customWidth="1"/>
    <col min="561" max="561" width="12.85546875" style="146" customWidth="1"/>
    <col min="562" max="562" width="17.28515625" style="146" customWidth="1"/>
    <col min="563" max="563" width="8.85546875" style="146"/>
    <col min="564" max="564" width="10.85546875" style="146" customWidth="1"/>
    <col min="565" max="565" width="8.85546875" style="146"/>
    <col min="566" max="566" width="15.42578125" style="146" customWidth="1"/>
    <col min="567" max="567" width="11.5703125" style="146" customWidth="1"/>
    <col min="568" max="569" width="8.85546875" style="146"/>
    <col min="570" max="570" width="9.28515625" style="146" customWidth="1"/>
    <col min="571" max="571" width="59.7109375" style="146" customWidth="1"/>
    <col min="572" max="572" width="14.140625" style="146" customWidth="1"/>
    <col min="573" max="573" width="12.85546875" style="146" customWidth="1"/>
    <col min="574" max="574" width="17.28515625" style="146" customWidth="1"/>
    <col min="575" max="575" width="8.85546875" style="146"/>
    <col min="576" max="576" width="10.85546875" style="146" customWidth="1"/>
    <col min="577" max="577" width="8.85546875" style="146"/>
    <col min="578" max="578" width="15.42578125" style="146" customWidth="1"/>
    <col min="579" max="579" width="11.5703125" style="146" customWidth="1"/>
    <col min="580" max="584" width="8.85546875" style="146"/>
    <col min="585" max="585" width="68.5703125" style="146" customWidth="1"/>
    <col min="586" max="586" width="14" style="146" bestFit="1" customWidth="1"/>
    <col min="587" max="587" width="10.28515625" style="146" bestFit="1" customWidth="1"/>
    <col min="588" max="588" width="7.7109375" style="146" bestFit="1" customWidth="1"/>
    <col min="589" max="589" width="8.85546875" style="146"/>
    <col min="590" max="590" width="11" style="146" bestFit="1" customWidth="1"/>
    <col min="591" max="593" width="8.85546875" style="146"/>
    <col min="594" max="594" width="11.85546875" style="146" bestFit="1" customWidth="1"/>
    <col min="595" max="768" width="8.85546875" style="146"/>
    <col min="769" max="769" width="8.42578125" style="146" customWidth="1"/>
    <col min="770" max="770" width="45.5703125" style="146" customWidth="1"/>
    <col min="771" max="771" width="13.28515625" style="146" customWidth="1"/>
    <col min="772" max="772" width="10.5703125" style="146" customWidth="1"/>
    <col min="773" max="773" width="7.7109375" style="146" customWidth="1"/>
    <col min="774" max="774" width="8.42578125" style="146" customWidth="1"/>
    <col min="775" max="775" width="12.5703125" style="146" customWidth="1"/>
    <col min="776" max="776" width="7.85546875" style="146" customWidth="1"/>
    <col min="777" max="777" width="45" style="146" customWidth="1"/>
    <col min="778" max="778" width="13.28515625" style="146" customWidth="1"/>
    <col min="779" max="779" width="11" style="146" customWidth="1"/>
    <col min="780" max="780" width="7.5703125" style="146" customWidth="1"/>
    <col min="781" max="781" width="8.85546875" style="146"/>
    <col min="782" max="782" width="8" style="146" customWidth="1"/>
    <col min="783" max="783" width="43.42578125" style="146" customWidth="1"/>
    <col min="784" max="784" width="13.7109375" style="146" customWidth="1"/>
    <col min="785" max="785" width="10.85546875" style="146" customWidth="1"/>
    <col min="786" max="786" width="7.5703125" style="146" customWidth="1"/>
    <col min="787" max="787" width="8.85546875" style="146"/>
    <col min="788" max="788" width="8.28515625" style="146" customWidth="1"/>
    <col min="789" max="789" width="48.28515625" style="146" customWidth="1"/>
    <col min="790" max="790" width="13.28515625" style="146" customWidth="1"/>
    <col min="791" max="791" width="10.28515625" style="146" customWidth="1"/>
    <col min="792" max="792" width="14.85546875" style="146" customWidth="1"/>
    <col min="793" max="793" width="11.5703125" style="146" customWidth="1"/>
    <col min="794" max="794" width="8.85546875" style="146"/>
    <col min="795" max="795" width="9.28515625" style="146" customWidth="1"/>
    <col min="796" max="796" width="59.7109375" style="146" customWidth="1"/>
    <col min="797" max="797" width="14.140625" style="146" customWidth="1"/>
    <col min="798" max="798" width="12.85546875" style="146" customWidth="1"/>
    <col min="799" max="799" width="17.28515625" style="146" customWidth="1"/>
    <col min="800" max="801" width="8.85546875" style="146"/>
    <col min="802" max="802" width="9.28515625" style="146" customWidth="1"/>
    <col min="803" max="803" width="59.7109375" style="146" customWidth="1"/>
    <col min="804" max="804" width="14.140625" style="146" customWidth="1"/>
    <col min="805" max="805" width="12.85546875" style="146" customWidth="1"/>
    <col min="806" max="806" width="17.28515625" style="146" customWidth="1"/>
    <col min="807" max="807" width="8.85546875" style="146"/>
    <col min="808" max="808" width="10.85546875" style="146" customWidth="1"/>
    <col min="809" max="809" width="8.85546875" style="146"/>
    <col min="810" max="810" width="15.42578125" style="146" customWidth="1"/>
    <col min="811" max="811" width="11.5703125" style="146" customWidth="1"/>
    <col min="812" max="813" width="8.85546875" style="146"/>
    <col min="814" max="814" width="9.28515625" style="146" customWidth="1"/>
    <col min="815" max="815" width="59.7109375" style="146" customWidth="1"/>
    <col min="816" max="816" width="14.140625" style="146" customWidth="1"/>
    <col min="817" max="817" width="12.85546875" style="146" customWidth="1"/>
    <col min="818" max="818" width="17.28515625" style="146" customWidth="1"/>
    <col min="819" max="819" width="8.85546875" style="146"/>
    <col min="820" max="820" width="10.85546875" style="146" customWidth="1"/>
    <col min="821" max="821" width="8.85546875" style="146"/>
    <col min="822" max="822" width="15.42578125" style="146" customWidth="1"/>
    <col min="823" max="823" width="11.5703125" style="146" customWidth="1"/>
    <col min="824" max="825" width="8.85546875" style="146"/>
    <col min="826" max="826" width="9.28515625" style="146" customWidth="1"/>
    <col min="827" max="827" width="59.7109375" style="146" customWidth="1"/>
    <col min="828" max="828" width="14.140625" style="146" customWidth="1"/>
    <col min="829" max="829" width="12.85546875" style="146" customWidth="1"/>
    <col min="830" max="830" width="17.28515625" style="146" customWidth="1"/>
    <col min="831" max="831" width="8.85546875" style="146"/>
    <col min="832" max="832" width="10.85546875" style="146" customWidth="1"/>
    <col min="833" max="833" width="8.85546875" style="146"/>
    <col min="834" max="834" width="15.42578125" style="146" customWidth="1"/>
    <col min="835" max="835" width="11.5703125" style="146" customWidth="1"/>
    <col min="836" max="840" width="8.85546875" style="146"/>
    <col min="841" max="841" width="68.5703125" style="146" customWidth="1"/>
    <col min="842" max="842" width="14" style="146" bestFit="1" customWidth="1"/>
    <col min="843" max="843" width="10.28515625" style="146" bestFit="1" customWidth="1"/>
    <col min="844" max="844" width="7.7109375" style="146" bestFit="1" customWidth="1"/>
    <col min="845" max="845" width="8.85546875" style="146"/>
    <col min="846" max="846" width="11" style="146" bestFit="1" customWidth="1"/>
    <col min="847" max="849" width="8.85546875" style="146"/>
    <col min="850" max="850" width="11.85546875" style="146" bestFit="1" customWidth="1"/>
    <col min="851" max="1024" width="8.85546875" style="146"/>
    <col min="1025" max="1025" width="8.42578125" style="146" customWidth="1"/>
    <col min="1026" max="1026" width="45.5703125" style="146" customWidth="1"/>
    <col min="1027" max="1027" width="13.28515625" style="146" customWidth="1"/>
    <col min="1028" max="1028" width="10.5703125" style="146" customWidth="1"/>
    <col min="1029" max="1029" width="7.7109375" style="146" customWidth="1"/>
    <col min="1030" max="1030" width="8.42578125" style="146" customWidth="1"/>
    <col min="1031" max="1031" width="12.5703125" style="146" customWidth="1"/>
    <col min="1032" max="1032" width="7.85546875" style="146" customWidth="1"/>
    <col min="1033" max="1033" width="45" style="146" customWidth="1"/>
    <col min="1034" max="1034" width="13.28515625" style="146" customWidth="1"/>
    <col min="1035" max="1035" width="11" style="146" customWidth="1"/>
    <col min="1036" max="1036" width="7.5703125" style="146" customWidth="1"/>
    <col min="1037" max="1037" width="8.85546875" style="146"/>
    <col min="1038" max="1038" width="8" style="146" customWidth="1"/>
    <col min="1039" max="1039" width="43.42578125" style="146" customWidth="1"/>
    <col min="1040" max="1040" width="13.7109375" style="146" customWidth="1"/>
    <col min="1041" max="1041" width="10.85546875" style="146" customWidth="1"/>
    <col min="1042" max="1042" width="7.5703125" style="146" customWidth="1"/>
    <col min="1043" max="1043" width="8.85546875" style="146"/>
    <col min="1044" max="1044" width="8.28515625" style="146" customWidth="1"/>
    <col min="1045" max="1045" width="48.28515625" style="146" customWidth="1"/>
    <col min="1046" max="1046" width="13.28515625" style="146" customWidth="1"/>
    <col min="1047" max="1047" width="10.28515625" style="146" customWidth="1"/>
    <col min="1048" max="1048" width="14.85546875" style="146" customWidth="1"/>
    <col min="1049" max="1049" width="11.5703125" style="146" customWidth="1"/>
    <col min="1050" max="1050" width="8.85546875" style="146"/>
    <col min="1051" max="1051" width="9.28515625" style="146" customWidth="1"/>
    <col min="1052" max="1052" width="59.7109375" style="146" customWidth="1"/>
    <col min="1053" max="1053" width="14.140625" style="146" customWidth="1"/>
    <col min="1054" max="1054" width="12.85546875" style="146" customWidth="1"/>
    <col min="1055" max="1055" width="17.28515625" style="146" customWidth="1"/>
    <col min="1056" max="1057" width="8.85546875" style="146"/>
    <col min="1058" max="1058" width="9.28515625" style="146" customWidth="1"/>
    <col min="1059" max="1059" width="59.7109375" style="146" customWidth="1"/>
    <col min="1060" max="1060" width="14.140625" style="146" customWidth="1"/>
    <col min="1061" max="1061" width="12.85546875" style="146" customWidth="1"/>
    <col min="1062" max="1062" width="17.28515625" style="146" customWidth="1"/>
    <col min="1063" max="1063" width="8.85546875" style="146"/>
    <col min="1064" max="1064" width="10.85546875" style="146" customWidth="1"/>
    <col min="1065" max="1065" width="8.85546875" style="146"/>
    <col min="1066" max="1066" width="15.42578125" style="146" customWidth="1"/>
    <col min="1067" max="1067" width="11.5703125" style="146" customWidth="1"/>
    <col min="1068" max="1069" width="8.85546875" style="146"/>
    <col min="1070" max="1070" width="9.28515625" style="146" customWidth="1"/>
    <col min="1071" max="1071" width="59.7109375" style="146" customWidth="1"/>
    <col min="1072" max="1072" width="14.140625" style="146" customWidth="1"/>
    <col min="1073" max="1073" width="12.85546875" style="146" customWidth="1"/>
    <col min="1074" max="1074" width="17.28515625" style="146" customWidth="1"/>
    <col min="1075" max="1075" width="8.85546875" style="146"/>
    <col min="1076" max="1076" width="10.85546875" style="146" customWidth="1"/>
    <col min="1077" max="1077" width="8.85546875" style="146"/>
    <col min="1078" max="1078" width="15.42578125" style="146" customWidth="1"/>
    <col min="1079" max="1079" width="11.5703125" style="146" customWidth="1"/>
    <col min="1080" max="1081" width="8.85546875" style="146"/>
    <col min="1082" max="1082" width="9.28515625" style="146" customWidth="1"/>
    <col min="1083" max="1083" width="59.7109375" style="146" customWidth="1"/>
    <col min="1084" max="1084" width="14.140625" style="146" customWidth="1"/>
    <col min="1085" max="1085" width="12.85546875" style="146" customWidth="1"/>
    <col min="1086" max="1086" width="17.28515625" style="146" customWidth="1"/>
    <col min="1087" max="1087" width="8.85546875" style="146"/>
    <col min="1088" max="1088" width="10.85546875" style="146" customWidth="1"/>
    <col min="1089" max="1089" width="8.85546875" style="146"/>
    <col min="1090" max="1090" width="15.42578125" style="146" customWidth="1"/>
    <col min="1091" max="1091" width="11.5703125" style="146" customWidth="1"/>
    <col min="1092" max="1096" width="8.85546875" style="146"/>
    <col min="1097" max="1097" width="68.5703125" style="146" customWidth="1"/>
    <col min="1098" max="1098" width="14" style="146" bestFit="1" customWidth="1"/>
    <col min="1099" max="1099" width="10.28515625" style="146" bestFit="1" customWidth="1"/>
    <col min="1100" max="1100" width="7.7109375" style="146" bestFit="1" customWidth="1"/>
    <col min="1101" max="1101" width="8.85546875" style="146"/>
    <col min="1102" max="1102" width="11" style="146" bestFit="1" customWidth="1"/>
    <col min="1103" max="1105" width="8.85546875" style="146"/>
    <col min="1106" max="1106" width="11.85546875" style="146" bestFit="1" customWidth="1"/>
    <col min="1107" max="1280" width="8.85546875" style="146"/>
    <col min="1281" max="1281" width="8.42578125" style="146" customWidth="1"/>
    <col min="1282" max="1282" width="45.5703125" style="146" customWidth="1"/>
    <col min="1283" max="1283" width="13.28515625" style="146" customWidth="1"/>
    <col min="1284" max="1284" width="10.5703125" style="146" customWidth="1"/>
    <col min="1285" max="1285" width="7.7109375" style="146" customWidth="1"/>
    <col min="1286" max="1286" width="8.42578125" style="146" customWidth="1"/>
    <col min="1287" max="1287" width="12.5703125" style="146" customWidth="1"/>
    <col min="1288" max="1288" width="7.85546875" style="146" customWidth="1"/>
    <col min="1289" max="1289" width="45" style="146" customWidth="1"/>
    <col min="1290" max="1290" width="13.28515625" style="146" customWidth="1"/>
    <col min="1291" max="1291" width="11" style="146" customWidth="1"/>
    <col min="1292" max="1292" width="7.5703125" style="146" customWidth="1"/>
    <col min="1293" max="1293" width="8.85546875" style="146"/>
    <col min="1294" max="1294" width="8" style="146" customWidth="1"/>
    <col min="1295" max="1295" width="43.42578125" style="146" customWidth="1"/>
    <col min="1296" max="1296" width="13.7109375" style="146" customWidth="1"/>
    <col min="1297" max="1297" width="10.85546875" style="146" customWidth="1"/>
    <col min="1298" max="1298" width="7.5703125" style="146" customWidth="1"/>
    <col min="1299" max="1299" width="8.85546875" style="146"/>
    <col min="1300" max="1300" width="8.28515625" style="146" customWidth="1"/>
    <col min="1301" max="1301" width="48.28515625" style="146" customWidth="1"/>
    <col min="1302" max="1302" width="13.28515625" style="146" customWidth="1"/>
    <col min="1303" max="1303" width="10.28515625" style="146" customWidth="1"/>
    <col min="1304" max="1304" width="14.85546875" style="146" customWidth="1"/>
    <col min="1305" max="1305" width="11.5703125" style="146" customWidth="1"/>
    <col min="1306" max="1306" width="8.85546875" style="146"/>
    <col min="1307" max="1307" width="9.28515625" style="146" customWidth="1"/>
    <col min="1308" max="1308" width="59.7109375" style="146" customWidth="1"/>
    <col min="1309" max="1309" width="14.140625" style="146" customWidth="1"/>
    <col min="1310" max="1310" width="12.85546875" style="146" customWidth="1"/>
    <col min="1311" max="1311" width="17.28515625" style="146" customWidth="1"/>
    <col min="1312" max="1313" width="8.85546875" style="146"/>
    <col min="1314" max="1314" width="9.28515625" style="146" customWidth="1"/>
    <col min="1315" max="1315" width="59.7109375" style="146" customWidth="1"/>
    <col min="1316" max="1316" width="14.140625" style="146" customWidth="1"/>
    <col min="1317" max="1317" width="12.85546875" style="146" customWidth="1"/>
    <col min="1318" max="1318" width="17.28515625" style="146" customWidth="1"/>
    <col min="1319" max="1319" width="8.85546875" style="146"/>
    <col min="1320" max="1320" width="10.85546875" style="146" customWidth="1"/>
    <col min="1321" max="1321" width="8.85546875" style="146"/>
    <col min="1322" max="1322" width="15.42578125" style="146" customWidth="1"/>
    <col min="1323" max="1323" width="11.5703125" style="146" customWidth="1"/>
    <col min="1324" max="1325" width="8.85546875" style="146"/>
    <col min="1326" max="1326" width="9.28515625" style="146" customWidth="1"/>
    <col min="1327" max="1327" width="59.7109375" style="146" customWidth="1"/>
    <col min="1328" max="1328" width="14.140625" style="146" customWidth="1"/>
    <col min="1329" max="1329" width="12.85546875" style="146" customWidth="1"/>
    <col min="1330" max="1330" width="17.28515625" style="146" customWidth="1"/>
    <col min="1331" max="1331" width="8.85546875" style="146"/>
    <col min="1332" max="1332" width="10.85546875" style="146" customWidth="1"/>
    <col min="1333" max="1333" width="8.85546875" style="146"/>
    <col min="1334" max="1334" width="15.42578125" style="146" customWidth="1"/>
    <col min="1335" max="1335" width="11.5703125" style="146" customWidth="1"/>
    <col min="1336" max="1337" width="8.85546875" style="146"/>
    <col min="1338" max="1338" width="9.28515625" style="146" customWidth="1"/>
    <col min="1339" max="1339" width="59.7109375" style="146" customWidth="1"/>
    <col min="1340" max="1340" width="14.140625" style="146" customWidth="1"/>
    <col min="1341" max="1341" width="12.85546875" style="146" customWidth="1"/>
    <col min="1342" max="1342" width="17.28515625" style="146" customWidth="1"/>
    <col min="1343" max="1343" width="8.85546875" style="146"/>
    <col min="1344" max="1344" width="10.85546875" style="146" customWidth="1"/>
    <col min="1345" max="1345" width="8.85546875" style="146"/>
    <col min="1346" max="1346" width="15.42578125" style="146" customWidth="1"/>
    <col min="1347" max="1347" width="11.5703125" style="146" customWidth="1"/>
    <col min="1348" max="1352" width="8.85546875" style="146"/>
    <col min="1353" max="1353" width="68.5703125" style="146" customWidth="1"/>
    <col min="1354" max="1354" width="14" style="146" bestFit="1" customWidth="1"/>
    <col min="1355" max="1355" width="10.28515625" style="146" bestFit="1" customWidth="1"/>
    <col min="1356" max="1356" width="7.7109375" style="146" bestFit="1" customWidth="1"/>
    <col min="1357" max="1357" width="8.85546875" style="146"/>
    <col min="1358" max="1358" width="11" style="146" bestFit="1" customWidth="1"/>
    <col min="1359" max="1361" width="8.85546875" style="146"/>
    <col min="1362" max="1362" width="11.85546875" style="146" bestFit="1" customWidth="1"/>
    <col min="1363" max="1536" width="8.85546875" style="146"/>
    <col min="1537" max="1537" width="8.42578125" style="146" customWidth="1"/>
    <col min="1538" max="1538" width="45.5703125" style="146" customWidth="1"/>
    <col min="1539" max="1539" width="13.28515625" style="146" customWidth="1"/>
    <col min="1540" max="1540" width="10.5703125" style="146" customWidth="1"/>
    <col min="1541" max="1541" width="7.7109375" style="146" customWidth="1"/>
    <col min="1542" max="1542" width="8.42578125" style="146" customWidth="1"/>
    <col min="1543" max="1543" width="12.5703125" style="146" customWidth="1"/>
    <col min="1544" max="1544" width="7.85546875" style="146" customWidth="1"/>
    <col min="1545" max="1545" width="45" style="146" customWidth="1"/>
    <col min="1546" max="1546" width="13.28515625" style="146" customWidth="1"/>
    <col min="1547" max="1547" width="11" style="146" customWidth="1"/>
    <col min="1548" max="1548" width="7.5703125" style="146" customWidth="1"/>
    <col min="1549" max="1549" width="8.85546875" style="146"/>
    <col min="1550" max="1550" width="8" style="146" customWidth="1"/>
    <col min="1551" max="1551" width="43.42578125" style="146" customWidth="1"/>
    <col min="1552" max="1552" width="13.7109375" style="146" customWidth="1"/>
    <col min="1553" max="1553" width="10.85546875" style="146" customWidth="1"/>
    <col min="1554" max="1554" width="7.5703125" style="146" customWidth="1"/>
    <col min="1555" max="1555" width="8.85546875" style="146"/>
    <col min="1556" max="1556" width="8.28515625" style="146" customWidth="1"/>
    <col min="1557" max="1557" width="48.28515625" style="146" customWidth="1"/>
    <col min="1558" max="1558" width="13.28515625" style="146" customWidth="1"/>
    <col min="1559" max="1559" width="10.28515625" style="146" customWidth="1"/>
    <col min="1560" max="1560" width="14.85546875" style="146" customWidth="1"/>
    <col min="1561" max="1561" width="11.5703125" style="146" customWidth="1"/>
    <col min="1562" max="1562" width="8.85546875" style="146"/>
    <col min="1563" max="1563" width="9.28515625" style="146" customWidth="1"/>
    <col min="1564" max="1564" width="59.7109375" style="146" customWidth="1"/>
    <col min="1565" max="1565" width="14.140625" style="146" customWidth="1"/>
    <col min="1566" max="1566" width="12.85546875" style="146" customWidth="1"/>
    <col min="1567" max="1567" width="17.28515625" style="146" customWidth="1"/>
    <col min="1568" max="1569" width="8.85546875" style="146"/>
    <col min="1570" max="1570" width="9.28515625" style="146" customWidth="1"/>
    <col min="1571" max="1571" width="59.7109375" style="146" customWidth="1"/>
    <col min="1572" max="1572" width="14.140625" style="146" customWidth="1"/>
    <col min="1573" max="1573" width="12.85546875" style="146" customWidth="1"/>
    <col min="1574" max="1574" width="17.28515625" style="146" customWidth="1"/>
    <col min="1575" max="1575" width="8.85546875" style="146"/>
    <col min="1576" max="1576" width="10.85546875" style="146" customWidth="1"/>
    <col min="1577" max="1577" width="8.85546875" style="146"/>
    <col min="1578" max="1578" width="15.42578125" style="146" customWidth="1"/>
    <col min="1579" max="1579" width="11.5703125" style="146" customWidth="1"/>
    <col min="1580" max="1581" width="8.85546875" style="146"/>
    <col min="1582" max="1582" width="9.28515625" style="146" customWidth="1"/>
    <col min="1583" max="1583" width="59.7109375" style="146" customWidth="1"/>
    <col min="1584" max="1584" width="14.140625" style="146" customWidth="1"/>
    <col min="1585" max="1585" width="12.85546875" style="146" customWidth="1"/>
    <col min="1586" max="1586" width="17.28515625" style="146" customWidth="1"/>
    <col min="1587" max="1587" width="8.85546875" style="146"/>
    <col min="1588" max="1588" width="10.85546875" style="146" customWidth="1"/>
    <col min="1589" max="1589" width="8.85546875" style="146"/>
    <col min="1590" max="1590" width="15.42578125" style="146" customWidth="1"/>
    <col min="1591" max="1591" width="11.5703125" style="146" customWidth="1"/>
    <col min="1592" max="1593" width="8.85546875" style="146"/>
    <col min="1594" max="1594" width="9.28515625" style="146" customWidth="1"/>
    <col min="1595" max="1595" width="59.7109375" style="146" customWidth="1"/>
    <col min="1596" max="1596" width="14.140625" style="146" customWidth="1"/>
    <col min="1597" max="1597" width="12.85546875" style="146" customWidth="1"/>
    <col min="1598" max="1598" width="17.28515625" style="146" customWidth="1"/>
    <col min="1599" max="1599" width="8.85546875" style="146"/>
    <col min="1600" max="1600" width="10.85546875" style="146" customWidth="1"/>
    <col min="1601" max="1601" width="8.85546875" style="146"/>
    <col min="1602" max="1602" width="15.42578125" style="146" customWidth="1"/>
    <col min="1603" max="1603" width="11.5703125" style="146" customWidth="1"/>
    <col min="1604" max="1608" width="8.85546875" style="146"/>
    <col min="1609" max="1609" width="68.5703125" style="146" customWidth="1"/>
    <col min="1610" max="1610" width="14" style="146" bestFit="1" customWidth="1"/>
    <col min="1611" max="1611" width="10.28515625" style="146" bestFit="1" customWidth="1"/>
    <col min="1612" max="1612" width="7.7109375" style="146" bestFit="1" customWidth="1"/>
    <col min="1613" max="1613" width="8.85546875" style="146"/>
    <col min="1614" max="1614" width="11" style="146" bestFit="1" customWidth="1"/>
    <col min="1615" max="1617" width="8.85546875" style="146"/>
    <col min="1618" max="1618" width="11.85546875" style="146" bestFit="1" customWidth="1"/>
    <col min="1619" max="1792" width="8.85546875" style="146"/>
    <col min="1793" max="1793" width="8.42578125" style="146" customWidth="1"/>
    <col min="1794" max="1794" width="45.5703125" style="146" customWidth="1"/>
    <col min="1795" max="1795" width="13.28515625" style="146" customWidth="1"/>
    <col min="1796" max="1796" width="10.5703125" style="146" customWidth="1"/>
    <col min="1797" max="1797" width="7.7109375" style="146" customWidth="1"/>
    <col min="1798" max="1798" width="8.42578125" style="146" customWidth="1"/>
    <col min="1799" max="1799" width="12.5703125" style="146" customWidth="1"/>
    <col min="1800" max="1800" width="7.85546875" style="146" customWidth="1"/>
    <col min="1801" max="1801" width="45" style="146" customWidth="1"/>
    <col min="1802" max="1802" width="13.28515625" style="146" customWidth="1"/>
    <col min="1803" max="1803" width="11" style="146" customWidth="1"/>
    <col min="1804" max="1804" width="7.5703125" style="146" customWidth="1"/>
    <col min="1805" max="1805" width="8.85546875" style="146"/>
    <col min="1806" max="1806" width="8" style="146" customWidth="1"/>
    <col min="1807" max="1807" width="43.42578125" style="146" customWidth="1"/>
    <col min="1808" max="1808" width="13.7109375" style="146" customWidth="1"/>
    <col min="1809" max="1809" width="10.85546875" style="146" customWidth="1"/>
    <col min="1810" max="1810" width="7.5703125" style="146" customWidth="1"/>
    <col min="1811" max="1811" width="8.85546875" style="146"/>
    <col min="1812" max="1812" width="8.28515625" style="146" customWidth="1"/>
    <col min="1813" max="1813" width="48.28515625" style="146" customWidth="1"/>
    <col min="1814" max="1814" width="13.28515625" style="146" customWidth="1"/>
    <col min="1815" max="1815" width="10.28515625" style="146" customWidth="1"/>
    <col min="1816" max="1816" width="14.85546875" style="146" customWidth="1"/>
    <col min="1817" max="1817" width="11.5703125" style="146" customWidth="1"/>
    <col min="1818" max="1818" width="8.85546875" style="146"/>
    <col min="1819" max="1819" width="9.28515625" style="146" customWidth="1"/>
    <col min="1820" max="1820" width="59.7109375" style="146" customWidth="1"/>
    <col min="1821" max="1821" width="14.140625" style="146" customWidth="1"/>
    <col min="1822" max="1822" width="12.85546875" style="146" customWidth="1"/>
    <col min="1823" max="1823" width="17.28515625" style="146" customWidth="1"/>
    <col min="1824" max="1825" width="8.85546875" style="146"/>
    <col min="1826" max="1826" width="9.28515625" style="146" customWidth="1"/>
    <col min="1827" max="1827" width="59.7109375" style="146" customWidth="1"/>
    <col min="1828" max="1828" width="14.140625" style="146" customWidth="1"/>
    <col min="1829" max="1829" width="12.85546875" style="146" customWidth="1"/>
    <col min="1830" max="1830" width="17.28515625" style="146" customWidth="1"/>
    <col min="1831" max="1831" width="8.85546875" style="146"/>
    <col min="1832" max="1832" width="10.85546875" style="146" customWidth="1"/>
    <col min="1833" max="1833" width="8.85546875" style="146"/>
    <col min="1834" max="1834" width="15.42578125" style="146" customWidth="1"/>
    <col min="1835" max="1835" width="11.5703125" style="146" customWidth="1"/>
    <col min="1836" max="1837" width="8.85546875" style="146"/>
    <col min="1838" max="1838" width="9.28515625" style="146" customWidth="1"/>
    <col min="1839" max="1839" width="59.7109375" style="146" customWidth="1"/>
    <col min="1840" max="1840" width="14.140625" style="146" customWidth="1"/>
    <col min="1841" max="1841" width="12.85546875" style="146" customWidth="1"/>
    <col min="1842" max="1842" width="17.28515625" style="146" customWidth="1"/>
    <col min="1843" max="1843" width="8.85546875" style="146"/>
    <col min="1844" max="1844" width="10.85546875" style="146" customWidth="1"/>
    <col min="1845" max="1845" width="8.85546875" style="146"/>
    <col min="1846" max="1846" width="15.42578125" style="146" customWidth="1"/>
    <col min="1847" max="1847" width="11.5703125" style="146" customWidth="1"/>
    <col min="1848" max="1849" width="8.85546875" style="146"/>
    <col min="1850" max="1850" width="9.28515625" style="146" customWidth="1"/>
    <col min="1851" max="1851" width="59.7109375" style="146" customWidth="1"/>
    <col min="1852" max="1852" width="14.140625" style="146" customWidth="1"/>
    <col min="1853" max="1853" width="12.85546875" style="146" customWidth="1"/>
    <col min="1854" max="1854" width="17.28515625" style="146" customWidth="1"/>
    <col min="1855" max="1855" width="8.85546875" style="146"/>
    <col min="1856" max="1856" width="10.85546875" style="146" customWidth="1"/>
    <col min="1857" max="1857" width="8.85546875" style="146"/>
    <col min="1858" max="1858" width="15.42578125" style="146" customWidth="1"/>
    <col min="1859" max="1859" width="11.5703125" style="146" customWidth="1"/>
    <col min="1860" max="1864" width="8.85546875" style="146"/>
    <col min="1865" max="1865" width="68.5703125" style="146" customWidth="1"/>
    <col min="1866" max="1866" width="14" style="146" bestFit="1" customWidth="1"/>
    <col min="1867" max="1867" width="10.28515625" style="146" bestFit="1" customWidth="1"/>
    <col min="1868" max="1868" width="7.7109375" style="146" bestFit="1" customWidth="1"/>
    <col min="1869" max="1869" width="8.85546875" style="146"/>
    <col min="1870" max="1870" width="11" style="146" bestFit="1" customWidth="1"/>
    <col min="1871" max="1873" width="8.85546875" style="146"/>
    <col min="1874" max="1874" width="11.85546875" style="146" bestFit="1" customWidth="1"/>
    <col min="1875" max="2048" width="8.85546875" style="146"/>
    <col min="2049" max="2049" width="8.42578125" style="146" customWidth="1"/>
    <col min="2050" max="2050" width="45.5703125" style="146" customWidth="1"/>
    <col min="2051" max="2051" width="13.28515625" style="146" customWidth="1"/>
    <col min="2052" max="2052" width="10.5703125" style="146" customWidth="1"/>
    <col min="2053" max="2053" width="7.7109375" style="146" customWidth="1"/>
    <col min="2054" max="2054" width="8.42578125" style="146" customWidth="1"/>
    <col min="2055" max="2055" width="12.5703125" style="146" customWidth="1"/>
    <col min="2056" max="2056" width="7.85546875" style="146" customWidth="1"/>
    <col min="2057" max="2057" width="45" style="146" customWidth="1"/>
    <col min="2058" max="2058" width="13.28515625" style="146" customWidth="1"/>
    <col min="2059" max="2059" width="11" style="146" customWidth="1"/>
    <col min="2060" max="2060" width="7.5703125" style="146" customWidth="1"/>
    <col min="2061" max="2061" width="8.85546875" style="146"/>
    <col min="2062" max="2062" width="8" style="146" customWidth="1"/>
    <col min="2063" max="2063" width="43.42578125" style="146" customWidth="1"/>
    <col min="2064" max="2064" width="13.7109375" style="146" customWidth="1"/>
    <col min="2065" max="2065" width="10.85546875" style="146" customWidth="1"/>
    <col min="2066" max="2066" width="7.5703125" style="146" customWidth="1"/>
    <col min="2067" max="2067" width="8.85546875" style="146"/>
    <col min="2068" max="2068" width="8.28515625" style="146" customWidth="1"/>
    <col min="2069" max="2069" width="48.28515625" style="146" customWidth="1"/>
    <col min="2070" max="2070" width="13.28515625" style="146" customWidth="1"/>
    <col min="2071" max="2071" width="10.28515625" style="146" customWidth="1"/>
    <col min="2072" max="2072" width="14.85546875" style="146" customWidth="1"/>
    <col min="2073" max="2073" width="11.5703125" style="146" customWidth="1"/>
    <col min="2074" max="2074" width="8.85546875" style="146"/>
    <col min="2075" max="2075" width="9.28515625" style="146" customWidth="1"/>
    <col min="2076" max="2076" width="59.7109375" style="146" customWidth="1"/>
    <col min="2077" max="2077" width="14.140625" style="146" customWidth="1"/>
    <col min="2078" max="2078" width="12.85546875" style="146" customWidth="1"/>
    <col min="2079" max="2079" width="17.28515625" style="146" customWidth="1"/>
    <col min="2080" max="2081" width="8.85546875" style="146"/>
    <col min="2082" max="2082" width="9.28515625" style="146" customWidth="1"/>
    <col min="2083" max="2083" width="59.7109375" style="146" customWidth="1"/>
    <col min="2084" max="2084" width="14.140625" style="146" customWidth="1"/>
    <col min="2085" max="2085" width="12.85546875" style="146" customWidth="1"/>
    <col min="2086" max="2086" width="17.28515625" style="146" customWidth="1"/>
    <col min="2087" max="2087" width="8.85546875" style="146"/>
    <col min="2088" max="2088" width="10.85546875" style="146" customWidth="1"/>
    <col min="2089" max="2089" width="8.85546875" style="146"/>
    <col min="2090" max="2090" width="15.42578125" style="146" customWidth="1"/>
    <col min="2091" max="2091" width="11.5703125" style="146" customWidth="1"/>
    <col min="2092" max="2093" width="8.85546875" style="146"/>
    <col min="2094" max="2094" width="9.28515625" style="146" customWidth="1"/>
    <col min="2095" max="2095" width="59.7109375" style="146" customWidth="1"/>
    <col min="2096" max="2096" width="14.140625" style="146" customWidth="1"/>
    <col min="2097" max="2097" width="12.85546875" style="146" customWidth="1"/>
    <col min="2098" max="2098" width="17.28515625" style="146" customWidth="1"/>
    <col min="2099" max="2099" width="8.85546875" style="146"/>
    <col min="2100" max="2100" width="10.85546875" style="146" customWidth="1"/>
    <col min="2101" max="2101" width="8.85546875" style="146"/>
    <col min="2102" max="2102" width="15.42578125" style="146" customWidth="1"/>
    <col min="2103" max="2103" width="11.5703125" style="146" customWidth="1"/>
    <col min="2104" max="2105" width="8.85546875" style="146"/>
    <col min="2106" max="2106" width="9.28515625" style="146" customWidth="1"/>
    <col min="2107" max="2107" width="59.7109375" style="146" customWidth="1"/>
    <col min="2108" max="2108" width="14.140625" style="146" customWidth="1"/>
    <col min="2109" max="2109" width="12.85546875" style="146" customWidth="1"/>
    <col min="2110" max="2110" width="17.28515625" style="146" customWidth="1"/>
    <col min="2111" max="2111" width="8.85546875" style="146"/>
    <col min="2112" max="2112" width="10.85546875" style="146" customWidth="1"/>
    <col min="2113" max="2113" width="8.85546875" style="146"/>
    <col min="2114" max="2114" width="15.42578125" style="146" customWidth="1"/>
    <col min="2115" max="2115" width="11.5703125" style="146" customWidth="1"/>
    <col min="2116" max="2120" width="8.85546875" style="146"/>
    <col min="2121" max="2121" width="68.5703125" style="146" customWidth="1"/>
    <col min="2122" max="2122" width="14" style="146" bestFit="1" customWidth="1"/>
    <col min="2123" max="2123" width="10.28515625" style="146" bestFit="1" customWidth="1"/>
    <col min="2124" max="2124" width="7.7109375" style="146" bestFit="1" customWidth="1"/>
    <col min="2125" max="2125" width="8.85546875" style="146"/>
    <col min="2126" max="2126" width="11" style="146" bestFit="1" customWidth="1"/>
    <col min="2127" max="2129" width="8.85546875" style="146"/>
    <col min="2130" max="2130" width="11.85546875" style="146" bestFit="1" customWidth="1"/>
    <col min="2131" max="2304" width="8.85546875" style="146"/>
    <col min="2305" max="2305" width="8.42578125" style="146" customWidth="1"/>
    <col min="2306" max="2306" width="45.5703125" style="146" customWidth="1"/>
    <col min="2307" max="2307" width="13.28515625" style="146" customWidth="1"/>
    <col min="2308" max="2308" width="10.5703125" style="146" customWidth="1"/>
    <col min="2309" max="2309" width="7.7109375" style="146" customWidth="1"/>
    <col min="2310" max="2310" width="8.42578125" style="146" customWidth="1"/>
    <col min="2311" max="2311" width="12.5703125" style="146" customWidth="1"/>
    <col min="2312" max="2312" width="7.85546875" style="146" customWidth="1"/>
    <col min="2313" max="2313" width="45" style="146" customWidth="1"/>
    <col min="2314" max="2314" width="13.28515625" style="146" customWidth="1"/>
    <col min="2315" max="2315" width="11" style="146" customWidth="1"/>
    <col min="2316" max="2316" width="7.5703125" style="146" customWidth="1"/>
    <col min="2317" max="2317" width="8.85546875" style="146"/>
    <col min="2318" max="2318" width="8" style="146" customWidth="1"/>
    <col min="2319" max="2319" width="43.42578125" style="146" customWidth="1"/>
    <col min="2320" max="2320" width="13.7109375" style="146" customWidth="1"/>
    <col min="2321" max="2321" width="10.85546875" style="146" customWidth="1"/>
    <col min="2322" max="2322" width="7.5703125" style="146" customWidth="1"/>
    <col min="2323" max="2323" width="8.85546875" style="146"/>
    <col min="2324" max="2324" width="8.28515625" style="146" customWidth="1"/>
    <col min="2325" max="2325" width="48.28515625" style="146" customWidth="1"/>
    <col min="2326" max="2326" width="13.28515625" style="146" customWidth="1"/>
    <col min="2327" max="2327" width="10.28515625" style="146" customWidth="1"/>
    <col min="2328" max="2328" width="14.85546875" style="146" customWidth="1"/>
    <col min="2329" max="2329" width="11.5703125" style="146" customWidth="1"/>
    <col min="2330" max="2330" width="8.85546875" style="146"/>
    <col min="2331" max="2331" width="9.28515625" style="146" customWidth="1"/>
    <col min="2332" max="2332" width="59.7109375" style="146" customWidth="1"/>
    <col min="2333" max="2333" width="14.140625" style="146" customWidth="1"/>
    <col min="2334" max="2334" width="12.85546875" style="146" customWidth="1"/>
    <col min="2335" max="2335" width="17.28515625" style="146" customWidth="1"/>
    <col min="2336" max="2337" width="8.85546875" style="146"/>
    <col min="2338" max="2338" width="9.28515625" style="146" customWidth="1"/>
    <col min="2339" max="2339" width="59.7109375" style="146" customWidth="1"/>
    <col min="2340" max="2340" width="14.140625" style="146" customWidth="1"/>
    <col min="2341" max="2341" width="12.85546875" style="146" customWidth="1"/>
    <col min="2342" max="2342" width="17.28515625" style="146" customWidth="1"/>
    <col min="2343" max="2343" width="8.85546875" style="146"/>
    <col min="2344" max="2344" width="10.85546875" style="146" customWidth="1"/>
    <col min="2345" max="2345" width="8.85546875" style="146"/>
    <col min="2346" max="2346" width="15.42578125" style="146" customWidth="1"/>
    <col min="2347" max="2347" width="11.5703125" style="146" customWidth="1"/>
    <col min="2348" max="2349" width="8.85546875" style="146"/>
    <col min="2350" max="2350" width="9.28515625" style="146" customWidth="1"/>
    <col min="2351" max="2351" width="59.7109375" style="146" customWidth="1"/>
    <col min="2352" max="2352" width="14.140625" style="146" customWidth="1"/>
    <col min="2353" max="2353" width="12.85546875" style="146" customWidth="1"/>
    <col min="2354" max="2354" width="17.28515625" style="146" customWidth="1"/>
    <col min="2355" max="2355" width="8.85546875" style="146"/>
    <col min="2356" max="2356" width="10.85546875" style="146" customWidth="1"/>
    <col min="2357" max="2357" width="8.85546875" style="146"/>
    <col min="2358" max="2358" width="15.42578125" style="146" customWidth="1"/>
    <col min="2359" max="2359" width="11.5703125" style="146" customWidth="1"/>
    <col min="2360" max="2361" width="8.85546875" style="146"/>
    <col min="2362" max="2362" width="9.28515625" style="146" customWidth="1"/>
    <col min="2363" max="2363" width="59.7109375" style="146" customWidth="1"/>
    <col min="2364" max="2364" width="14.140625" style="146" customWidth="1"/>
    <col min="2365" max="2365" width="12.85546875" style="146" customWidth="1"/>
    <col min="2366" max="2366" width="17.28515625" style="146" customWidth="1"/>
    <col min="2367" max="2367" width="8.85546875" style="146"/>
    <col min="2368" max="2368" width="10.85546875" style="146" customWidth="1"/>
    <col min="2369" max="2369" width="8.85546875" style="146"/>
    <col min="2370" max="2370" width="15.42578125" style="146" customWidth="1"/>
    <col min="2371" max="2371" width="11.5703125" style="146" customWidth="1"/>
    <col min="2372" max="2376" width="8.85546875" style="146"/>
    <col min="2377" max="2377" width="68.5703125" style="146" customWidth="1"/>
    <col min="2378" max="2378" width="14" style="146" bestFit="1" customWidth="1"/>
    <col min="2379" max="2379" width="10.28515625" style="146" bestFit="1" customWidth="1"/>
    <col min="2380" max="2380" width="7.7109375" style="146" bestFit="1" customWidth="1"/>
    <col min="2381" max="2381" width="8.85546875" style="146"/>
    <col min="2382" max="2382" width="11" style="146" bestFit="1" customWidth="1"/>
    <col min="2383" max="2385" width="8.85546875" style="146"/>
    <col min="2386" max="2386" width="11.85546875" style="146" bestFit="1" customWidth="1"/>
    <col min="2387" max="2560" width="8.85546875" style="146"/>
    <col min="2561" max="2561" width="8.42578125" style="146" customWidth="1"/>
    <col min="2562" max="2562" width="45.5703125" style="146" customWidth="1"/>
    <col min="2563" max="2563" width="13.28515625" style="146" customWidth="1"/>
    <col min="2564" max="2564" width="10.5703125" style="146" customWidth="1"/>
    <col min="2565" max="2565" width="7.7109375" style="146" customWidth="1"/>
    <col min="2566" max="2566" width="8.42578125" style="146" customWidth="1"/>
    <col min="2567" max="2567" width="12.5703125" style="146" customWidth="1"/>
    <col min="2568" max="2568" width="7.85546875" style="146" customWidth="1"/>
    <col min="2569" max="2569" width="45" style="146" customWidth="1"/>
    <col min="2570" max="2570" width="13.28515625" style="146" customWidth="1"/>
    <col min="2571" max="2571" width="11" style="146" customWidth="1"/>
    <col min="2572" max="2572" width="7.5703125" style="146" customWidth="1"/>
    <col min="2573" max="2573" width="8.85546875" style="146"/>
    <col min="2574" max="2574" width="8" style="146" customWidth="1"/>
    <col min="2575" max="2575" width="43.42578125" style="146" customWidth="1"/>
    <col min="2576" max="2576" width="13.7109375" style="146" customWidth="1"/>
    <col min="2577" max="2577" width="10.85546875" style="146" customWidth="1"/>
    <col min="2578" max="2578" width="7.5703125" style="146" customWidth="1"/>
    <col min="2579" max="2579" width="8.85546875" style="146"/>
    <col min="2580" max="2580" width="8.28515625" style="146" customWidth="1"/>
    <col min="2581" max="2581" width="48.28515625" style="146" customWidth="1"/>
    <col min="2582" max="2582" width="13.28515625" style="146" customWidth="1"/>
    <col min="2583" max="2583" width="10.28515625" style="146" customWidth="1"/>
    <col min="2584" max="2584" width="14.85546875" style="146" customWidth="1"/>
    <col min="2585" max="2585" width="11.5703125" style="146" customWidth="1"/>
    <col min="2586" max="2586" width="8.85546875" style="146"/>
    <col min="2587" max="2587" width="9.28515625" style="146" customWidth="1"/>
    <col min="2588" max="2588" width="59.7109375" style="146" customWidth="1"/>
    <col min="2589" max="2589" width="14.140625" style="146" customWidth="1"/>
    <col min="2590" max="2590" width="12.85546875" style="146" customWidth="1"/>
    <col min="2591" max="2591" width="17.28515625" style="146" customWidth="1"/>
    <col min="2592" max="2593" width="8.85546875" style="146"/>
    <col min="2594" max="2594" width="9.28515625" style="146" customWidth="1"/>
    <col min="2595" max="2595" width="59.7109375" style="146" customWidth="1"/>
    <col min="2596" max="2596" width="14.140625" style="146" customWidth="1"/>
    <col min="2597" max="2597" width="12.85546875" style="146" customWidth="1"/>
    <col min="2598" max="2598" width="17.28515625" style="146" customWidth="1"/>
    <col min="2599" max="2599" width="8.85546875" style="146"/>
    <col min="2600" max="2600" width="10.85546875" style="146" customWidth="1"/>
    <col min="2601" max="2601" width="8.85546875" style="146"/>
    <col min="2602" max="2602" width="15.42578125" style="146" customWidth="1"/>
    <col min="2603" max="2603" width="11.5703125" style="146" customWidth="1"/>
    <col min="2604" max="2605" width="8.85546875" style="146"/>
    <col min="2606" max="2606" width="9.28515625" style="146" customWidth="1"/>
    <col min="2607" max="2607" width="59.7109375" style="146" customWidth="1"/>
    <col min="2608" max="2608" width="14.140625" style="146" customWidth="1"/>
    <col min="2609" max="2609" width="12.85546875" style="146" customWidth="1"/>
    <col min="2610" max="2610" width="17.28515625" style="146" customWidth="1"/>
    <col min="2611" max="2611" width="8.85546875" style="146"/>
    <col min="2612" max="2612" width="10.85546875" style="146" customWidth="1"/>
    <col min="2613" max="2613" width="8.85546875" style="146"/>
    <col min="2614" max="2614" width="15.42578125" style="146" customWidth="1"/>
    <col min="2615" max="2615" width="11.5703125" style="146" customWidth="1"/>
    <col min="2616" max="2617" width="8.85546875" style="146"/>
    <col min="2618" max="2618" width="9.28515625" style="146" customWidth="1"/>
    <col min="2619" max="2619" width="59.7109375" style="146" customWidth="1"/>
    <col min="2620" max="2620" width="14.140625" style="146" customWidth="1"/>
    <col min="2621" max="2621" width="12.85546875" style="146" customWidth="1"/>
    <col min="2622" max="2622" width="17.28515625" style="146" customWidth="1"/>
    <col min="2623" max="2623" width="8.85546875" style="146"/>
    <col min="2624" max="2624" width="10.85546875" style="146" customWidth="1"/>
    <col min="2625" max="2625" width="8.85546875" style="146"/>
    <col min="2626" max="2626" width="15.42578125" style="146" customWidth="1"/>
    <col min="2627" max="2627" width="11.5703125" style="146" customWidth="1"/>
    <col min="2628" max="2632" width="8.85546875" style="146"/>
    <col min="2633" max="2633" width="68.5703125" style="146" customWidth="1"/>
    <col min="2634" max="2634" width="14" style="146" bestFit="1" customWidth="1"/>
    <col min="2635" max="2635" width="10.28515625" style="146" bestFit="1" customWidth="1"/>
    <col min="2636" max="2636" width="7.7109375" style="146" bestFit="1" customWidth="1"/>
    <col min="2637" max="2637" width="8.85546875" style="146"/>
    <col min="2638" max="2638" width="11" style="146" bestFit="1" customWidth="1"/>
    <col min="2639" max="2641" width="8.85546875" style="146"/>
    <col min="2642" max="2642" width="11.85546875" style="146" bestFit="1" customWidth="1"/>
    <col min="2643" max="2816" width="8.85546875" style="146"/>
    <col min="2817" max="2817" width="8.42578125" style="146" customWidth="1"/>
    <col min="2818" max="2818" width="45.5703125" style="146" customWidth="1"/>
    <col min="2819" max="2819" width="13.28515625" style="146" customWidth="1"/>
    <col min="2820" max="2820" width="10.5703125" style="146" customWidth="1"/>
    <col min="2821" max="2821" width="7.7109375" style="146" customWidth="1"/>
    <col min="2822" max="2822" width="8.42578125" style="146" customWidth="1"/>
    <col min="2823" max="2823" width="12.5703125" style="146" customWidth="1"/>
    <col min="2824" max="2824" width="7.85546875" style="146" customWidth="1"/>
    <col min="2825" max="2825" width="45" style="146" customWidth="1"/>
    <col min="2826" max="2826" width="13.28515625" style="146" customWidth="1"/>
    <col min="2827" max="2827" width="11" style="146" customWidth="1"/>
    <col min="2828" max="2828" width="7.5703125" style="146" customWidth="1"/>
    <col min="2829" max="2829" width="8.85546875" style="146"/>
    <col min="2830" max="2830" width="8" style="146" customWidth="1"/>
    <col min="2831" max="2831" width="43.42578125" style="146" customWidth="1"/>
    <col min="2832" max="2832" width="13.7109375" style="146" customWidth="1"/>
    <col min="2833" max="2833" width="10.85546875" style="146" customWidth="1"/>
    <col min="2834" max="2834" width="7.5703125" style="146" customWidth="1"/>
    <col min="2835" max="2835" width="8.85546875" style="146"/>
    <col min="2836" max="2836" width="8.28515625" style="146" customWidth="1"/>
    <col min="2837" max="2837" width="48.28515625" style="146" customWidth="1"/>
    <col min="2838" max="2838" width="13.28515625" style="146" customWidth="1"/>
    <col min="2839" max="2839" width="10.28515625" style="146" customWidth="1"/>
    <col min="2840" max="2840" width="14.85546875" style="146" customWidth="1"/>
    <col min="2841" max="2841" width="11.5703125" style="146" customWidth="1"/>
    <col min="2842" max="2842" width="8.85546875" style="146"/>
    <col min="2843" max="2843" width="9.28515625" style="146" customWidth="1"/>
    <col min="2844" max="2844" width="59.7109375" style="146" customWidth="1"/>
    <col min="2845" max="2845" width="14.140625" style="146" customWidth="1"/>
    <col min="2846" max="2846" width="12.85546875" style="146" customWidth="1"/>
    <col min="2847" max="2847" width="17.28515625" style="146" customWidth="1"/>
    <col min="2848" max="2849" width="8.85546875" style="146"/>
    <col min="2850" max="2850" width="9.28515625" style="146" customWidth="1"/>
    <col min="2851" max="2851" width="59.7109375" style="146" customWidth="1"/>
    <col min="2852" max="2852" width="14.140625" style="146" customWidth="1"/>
    <col min="2853" max="2853" width="12.85546875" style="146" customWidth="1"/>
    <col min="2854" max="2854" width="17.28515625" style="146" customWidth="1"/>
    <col min="2855" max="2855" width="8.85546875" style="146"/>
    <col min="2856" max="2856" width="10.85546875" style="146" customWidth="1"/>
    <col min="2857" max="2857" width="8.85546875" style="146"/>
    <col min="2858" max="2858" width="15.42578125" style="146" customWidth="1"/>
    <col min="2859" max="2859" width="11.5703125" style="146" customWidth="1"/>
    <col min="2860" max="2861" width="8.85546875" style="146"/>
    <col min="2862" max="2862" width="9.28515625" style="146" customWidth="1"/>
    <col min="2863" max="2863" width="59.7109375" style="146" customWidth="1"/>
    <col min="2864" max="2864" width="14.140625" style="146" customWidth="1"/>
    <col min="2865" max="2865" width="12.85546875" style="146" customWidth="1"/>
    <col min="2866" max="2866" width="17.28515625" style="146" customWidth="1"/>
    <col min="2867" max="2867" width="8.85546875" style="146"/>
    <col min="2868" max="2868" width="10.85546875" style="146" customWidth="1"/>
    <col min="2869" max="2869" width="8.85546875" style="146"/>
    <col min="2870" max="2870" width="15.42578125" style="146" customWidth="1"/>
    <col min="2871" max="2871" width="11.5703125" style="146" customWidth="1"/>
    <col min="2872" max="2873" width="8.85546875" style="146"/>
    <col min="2874" max="2874" width="9.28515625" style="146" customWidth="1"/>
    <col min="2875" max="2875" width="59.7109375" style="146" customWidth="1"/>
    <col min="2876" max="2876" width="14.140625" style="146" customWidth="1"/>
    <col min="2877" max="2877" width="12.85546875" style="146" customWidth="1"/>
    <col min="2878" max="2878" width="17.28515625" style="146" customWidth="1"/>
    <col min="2879" max="2879" width="8.85546875" style="146"/>
    <col min="2880" max="2880" width="10.85546875" style="146" customWidth="1"/>
    <col min="2881" max="2881" width="8.85546875" style="146"/>
    <col min="2882" max="2882" width="15.42578125" style="146" customWidth="1"/>
    <col min="2883" max="2883" width="11.5703125" style="146" customWidth="1"/>
    <col min="2884" max="2888" width="8.85546875" style="146"/>
    <col min="2889" max="2889" width="68.5703125" style="146" customWidth="1"/>
    <col min="2890" max="2890" width="14" style="146" bestFit="1" customWidth="1"/>
    <col min="2891" max="2891" width="10.28515625" style="146" bestFit="1" customWidth="1"/>
    <col min="2892" max="2892" width="7.7109375" style="146" bestFit="1" customWidth="1"/>
    <col min="2893" max="2893" width="8.85546875" style="146"/>
    <col min="2894" max="2894" width="11" style="146" bestFit="1" customWidth="1"/>
    <col min="2895" max="2897" width="8.85546875" style="146"/>
    <col min="2898" max="2898" width="11.85546875" style="146" bestFit="1" customWidth="1"/>
    <col min="2899" max="3072" width="8.85546875" style="146"/>
    <col min="3073" max="3073" width="8.42578125" style="146" customWidth="1"/>
    <col min="3074" max="3074" width="45.5703125" style="146" customWidth="1"/>
    <col min="3075" max="3075" width="13.28515625" style="146" customWidth="1"/>
    <col min="3076" max="3076" width="10.5703125" style="146" customWidth="1"/>
    <col min="3077" max="3077" width="7.7109375" style="146" customWidth="1"/>
    <col min="3078" max="3078" width="8.42578125" style="146" customWidth="1"/>
    <col min="3079" max="3079" width="12.5703125" style="146" customWidth="1"/>
    <col min="3080" max="3080" width="7.85546875" style="146" customWidth="1"/>
    <col min="3081" max="3081" width="45" style="146" customWidth="1"/>
    <col min="3082" max="3082" width="13.28515625" style="146" customWidth="1"/>
    <col min="3083" max="3083" width="11" style="146" customWidth="1"/>
    <col min="3084" max="3084" width="7.5703125" style="146" customWidth="1"/>
    <col min="3085" max="3085" width="8.85546875" style="146"/>
    <col min="3086" max="3086" width="8" style="146" customWidth="1"/>
    <col min="3087" max="3087" width="43.42578125" style="146" customWidth="1"/>
    <col min="3088" max="3088" width="13.7109375" style="146" customWidth="1"/>
    <col min="3089" max="3089" width="10.85546875" style="146" customWidth="1"/>
    <col min="3090" max="3090" width="7.5703125" style="146" customWidth="1"/>
    <col min="3091" max="3091" width="8.85546875" style="146"/>
    <col min="3092" max="3092" width="8.28515625" style="146" customWidth="1"/>
    <col min="3093" max="3093" width="48.28515625" style="146" customWidth="1"/>
    <col min="3094" max="3094" width="13.28515625" style="146" customWidth="1"/>
    <col min="3095" max="3095" width="10.28515625" style="146" customWidth="1"/>
    <col min="3096" max="3096" width="14.85546875" style="146" customWidth="1"/>
    <col min="3097" max="3097" width="11.5703125" style="146" customWidth="1"/>
    <col min="3098" max="3098" width="8.85546875" style="146"/>
    <col min="3099" max="3099" width="9.28515625" style="146" customWidth="1"/>
    <col min="3100" max="3100" width="59.7109375" style="146" customWidth="1"/>
    <col min="3101" max="3101" width="14.140625" style="146" customWidth="1"/>
    <col min="3102" max="3102" width="12.85546875" style="146" customWidth="1"/>
    <col min="3103" max="3103" width="17.28515625" style="146" customWidth="1"/>
    <col min="3104" max="3105" width="8.85546875" style="146"/>
    <col min="3106" max="3106" width="9.28515625" style="146" customWidth="1"/>
    <col min="3107" max="3107" width="59.7109375" style="146" customWidth="1"/>
    <col min="3108" max="3108" width="14.140625" style="146" customWidth="1"/>
    <col min="3109" max="3109" width="12.85546875" style="146" customWidth="1"/>
    <col min="3110" max="3110" width="17.28515625" style="146" customWidth="1"/>
    <col min="3111" max="3111" width="8.85546875" style="146"/>
    <col min="3112" max="3112" width="10.85546875" style="146" customWidth="1"/>
    <col min="3113" max="3113" width="8.85546875" style="146"/>
    <col min="3114" max="3114" width="15.42578125" style="146" customWidth="1"/>
    <col min="3115" max="3115" width="11.5703125" style="146" customWidth="1"/>
    <col min="3116" max="3117" width="8.85546875" style="146"/>
    <col min="3118" max="3118" width="9.28515625" style="146" customWidth="1"/>
    <col min="3119" max="3119" width="59.7109375" style="146" customWidth="1"/>
    <col min="3120" max="3120" width="14.140625" style="146" customWidth="1"/>
    <col min="3121" max="3121" width="12.85546875" style="146" customWidth="1"/>
    <col min="3122" max="3122" width="17.28515625" style="146" customWidth="1"/>
    <col min="3123" max="3123" width="8.85546875" style="146"/>
    <col min="3124" max="3124" width="10.85546875" style="146" customWidth="1"/>
    <col min="3125" max="3125" width="8.85546875" style="146"/>
    <col min="3126" max="3126" width="15.42578125" style="146" customWidth="1"/>
    <col min="3127" max="3127" width="11.5703125" style="146" customWidth="1"/>
    <col min="3128" max="3129" width="8.85546875" style="146"/>
    <col min="3130" max="3130" width="9.28515625" style="146" customWidth="1"/>
    <col min="3131" max="3131" width="59.7109375" style="146" customWidth="1"/>
    <col min="3132" max="3132" width="14.140625" style="146" customWidth="1"/>
    <col min="3133" max="3133" width="12.85546875" style="146" customWidth="1"/>
    <col min="3134" max="3134" width="17.28515625" style="146" customWidth="1"/>
    <col min="3135" max="3135" width="8.85546875" style="146"/>
    <col min="3136" max="3136" width="10.85546875" style="146" customWidth="1"/>
    <col min="3137" max="3137" width="8.85546875" style="146"/>
    <col min="3138" max="3138" width="15.42578125" style="146" customWidth="1"/>
    <col min="3139" max="3139" width="11.5703125" style="146" customWidth="1"/>
    <col min="3140" max="3144" width="8.85546875" style="146"/>
    <col min="3145" max="3145" width="68.5703125" style="146" customWidth="1"/>
    <col min="3146" max="3146" width="14" style="146" bestFit="1" customWidth="1"/>
    <col min="3147" max="3147" width="10.28515625" style="146" bestFit="1" customWidth="1"/>
    <col min="3148" max="3148" width="7.7109375" style="146" bestFit="1" customWidth="1"/>
    <col min="3149" max="3149" width="8.85546875" style="146"/>
    <col min="3150" max="3150" width="11" style="146" bestFit="1" customWidth="1"/>
    <col min="3151" max="3153" width="8.85546875" style="146"/>
    <col min="3154" max="3154" width="11.85546875" style="146" bestFit="1" customWidth="1"/>
    <col min="3155" max="3328" width="8.85546875" style="146"/>
    <col min="3329" max="3329" width="8.42578125" style="146" customWidth="1"/>
    <col min="3330" max="3330" width="45.5703125" style="146" customWidth="1"/>
    <col min="3331" max="3331" width="13.28515625" style="146" customWidth="1"/>
    <col min="3332" max="3332" width="10.5703125" style="146" customWidth="1"/>
    <col min="3333" max="3333" width="7.7109375" style="146" customWidth="1"/>
    <col min="3334" max="3334" width="8.42578125" style="146" customWidth="1"/>
    <col min="3335" max="3335" width="12.5703125" style="146" customWidth="1"/>
    <col min="3336" max="3336" width="7.85546875" style="146" customWidth="1"/>
    <col min="3337" max="3337" width="45" style="146" customWidth="1"/>
    <col min="3338" max="3338" width="13.28515625" style="146" customWidth="1"/>
    <col min="3339" max="3339" width="11" style="146" customWidth="1"/>
    <col min="3340" max="3340" width="7.5703125" style="146" customWidth="1"/>
    <col min="3341" max="3341" width="8.85546875" style="146"/>
    <col min="3342" max="3342" width="8" style="146" customWidth="1"/>
    <col min="3343" max="3343" width="43.42578125" style="146" customWidth="1"/>
    <col min="3344" max="3344" width="13.7109375" style="146" customWidth="1"/>
    <col min="3345" max="3345" width="10.85546875" style="146" customWidth="1"/>
    <col min="3346" max="3346" width="7.5703125" style="146" customWidth="1"/>
    <col min="3347" max="3347" width="8.85546875" style="146"/>
    <col min="3348" max="3348" width="8.28515625" style="146" customWidth="1"/>
    <col min="3349" max="3349" width="48.28515625" style="146" customWidth="1"/>
    <col min="3350" max="3350" width="13.28515625" style="146" customWidth="1"/>
    <col min="3351" max="3351" width="10.28515625" style="146" customWidth="1"/>
    <col min="3352" max="3352" width="14.85546875" style="146" customWidth="1"/>
    <col min="3353" max="3353" width="11.5703125" style="146" customWidth="1"/>
    <col min="3354" max="3354" width="8.85546875" style="146"/>
    <col min="3355" max="3355" width="9.28515625" style="146" customWidth="1"/>
    <col min="3356" max="3356" width="59.7109375" style="146" customWidth="1"/>
    <col min="3357" max="3357" width="14.140625" style="146" customWidth="1"/>
    <col min="3358" max="3358" width="12.85546875" style="146" customWidth="1"/>
    <col min="3359" max="3359" width="17.28515625" style="146" customWidth="1"/>
    <col min="3360" max="3361" width="8.85546875" style="146"/>
    <col min="3362" max="3362" width="9.28515625" style="146" customWidth="1"/>
    <col min="3363" max="3363" width="59.7109375" style="146" customWidth="1"/>
    <col min="3364" max="3364" width="14.140625" style="146" customWidth="1"/>
    <col min="3365" max="3365" width="12.85546875" style="146" customWidth="1"/>
    <col min="3366" max="3366" width="17.28515625" style="146" customWidth="1"/>
    <col min="3367" max="3367" width="8.85546875" style="146"/>
    <col min="3368" max="3368" width="10.85546875" style="146" customWidth="1"/>
    <col min="3369" max="3369" width="8.85546875" style="146"/>
    <col min="3370" max="3370" width="15.42578125" style="146" customWidth="1"/>
    <col min="3371" max="3371" width="11.5703125" style="146" customWidth="1"/>
    <col min="3372" max="3373" width="8.85546875" style="146"/>
    <col min="3374" max="3374" width="9.28515625" style="146" customWidth="1"/>
    <col min="3375" max="3375" width="59.7109375" style="146" customWidth="1"/>
    <col min="3376" max="3376" width="14.140625" style="146" customWidth="1"/>
    <col min="3377" max="3377" width="12.85546875" style="146" customWidth="1"/>
    <col min="3378" max="3378" width="17.28515625" style="146" customWidth="1"/>
    <col min="3379" max="3379" width="8.85546875" style="146"/>
    <col min="3380" max="3380" width="10.85546875" style="146" customWidth="1"/>
    <col min="3381" max="3381" width="8.85546875" style="146"/>
    <col min="3382" max="3382" width="15.42578125" style="146" customWidth="1"/>
    <col min="3383" max="3383" width="11.5703125" style="146" customWidth="1"/>
    <col min="3384" max="3385" width="8.85546875" style="146"/>
    <col min="3386" max="3386" width="9.28515625" style="146" customWidth="1"/>
    <col min="3387" max="3387" width="59.7109375" style="146" customWidth="1"/>
    <col min="3388" max="3388" width="14.140625" style="146" customWidth="1"/>
    <col min="3389" max="3389" width="12.85546875" style="146" customWidth="1"/>
    <col min="3390" max="3390" width="17.28515625" style="146" customWidth="1"/>
    <col min="3391" max="3391" width="8.85546875" style="146"/>
    <col min="3392" max="3392" width="10.85546875" style="146" customWidth="1"/>
    <col min="3393" max="3393" width="8.85546875" style="146"/>
    <col min="3394" max="3394" width="15.42578125" style="146" customWidth="1"/>
    <col min="3395" max="3395" width="11.5703125" style="146" customWidth="1"/>
    <col min="3396" max="3400" width="8.85546875" style="146"/>
    <col min="3401" max="3401" width="68.5703125" style="146" customWidth="1"/>
    <col min="3402" max="3402" width="14" style="146" bestFit="1" customWidth="1"/>
    <col min="3403" max="3403" width="10.28515625" style="146" bestFit="1" customWidth="1"/>
    <col min="3404" max="3404" width="7.7109375" style="146" bestFit="1" customWidth="1"/>
    <col min="3405" max="3405" width="8.85546875" style="146"/>
    <col min="3406" max="3406" width="11" style="146" bestFit="1" customWidth="1"/>
    <col min="3407" max="3409" width="8.85546875" style="146"/>
    <col min="3410" max="3410" width="11.85546875" style="146" bestFit="1" customWidth="1"/>
    <col min="3411" max="3584" width="8.85546875" style="146"/>
    <col min="3585" max="3585" width="8.42578125" style="146" customWidth="1"/>
    <col min="3586" max="3586" width="45.5703125" style="146" customWidth="1"/>
    <col min="3587" max="3587" width="13.28515625" style="146" customWidth="1"/>
    <col min="3588" max="3588" width="10.5703125" style="146" customWidth="1"/>
    <col min="3589" max="3589" width="7.7109375" style="146" customWidth="1"/>
    <col min="3590" max="3590" width="8.42578125" style="146" customWidth="1"/>
    <col min="3591" max="3591" width="12.5703125" style="146" customWidth="1"/>
    <col min="3592" max="3592" width="7.85546875" style="146" customWidth="1"/>
    <col min="3593" max="3593" width="45" style="146" customWidth="1"/>
    <col min="3594" max="3594" width="13.28515625" style="146" customWidth="1"/>
    <col min="3595" max="3595" width="11" style="146" customWidth="1"/>
    <col min="3596" max="3596" width="7.5703125" style="146" customWidth="1"/>
    <col min="3597" max="3597" width="8.85546875" style="146"/>
    <col min="3598" max="3598" width="8" style="146" customWidth="1"/>
    <col min="3599" max="3599" width="43.42578125" style="146" customWidth="1"/>
    <col min="3600" max="3600" width="13.7109375" style="146" customWidth="1"/>
    <col min="3601" max="3601" width="10.85546875" style="146" customWidth="1"/>
    <col min="3602" max="3602" width="7.5703125" style="146" customWidth="1"/>
    <col min="3603" max="3603" width="8.85546875" style="146"/>
    <col min="3604" max="3604" width="8.28515625" style="146" customWidth="1"/>
    <col min="3605" max="3605" width="48.28515625" style="146" customWidth="1"/>
    <col min="3606" max="3606" width="13.28515625" style="146" customWidth="1"/>
    <col min="3607" max="3607" width="10.28515625" style="146" customWidth="1"/>
    <col min="3608" max="3608" width="14.85546875" style="146" customWidth="1"/>
    <col min="3609" max="3609" width="11.5703125" style="146" customWidth="1"/>
    <col min="3610" max="3610" width="8.85546875" style="146"/>
    <col min="3611" max="3611" width="9.28515625" style="146" customWidth="1"/>
    <col min="3612" max="3612" width="59.7109375" style="146" customWidth="1"/>
    <col min="3613" max="3613" width="14.140625" style="146" customWidth="1"/>
    <col min="3614" max="3614" width="12.85546875" style="146" customWidth="1"/>
    <col min="3615" max="3615" width="17.28515625" style="146" customWidth="1"/>
    <col min="3616" max="3617" width="8.85546875" style="146"/>
    <col min="3618" max="3618" width="9.28515625" style="146" customWidth="1"/>
    <col min="3619" max="3619" width="59.7109375" style="146" customWidth="1"/>
    <col min="3620" max="3620" width="14.140625" style="146" customWidth="1"/>
    <col min="3621" max="3621" width="12.85546875" style="146" customWidth="1"/>
    <col min="3622" max="3622" width="17.28515625" style="146" customWidth="1"/>
    <col min="3623" max="3623" width="8.85546875" style="146"/>
    <col min="3624" max="3624" width="10.85546875" style="146" customWidth="1"/>
    <col min="3625" max="3625" width="8.85546875" style="146"/>
    <col min="3626" max="3626" width="15.42578125" style="146" customWidth="1"/>
    <col min="3627" max="3627" width="11.5703125" style="146" customWidth="1"/>
    <col min="3628" max="3629" width="8.85546875" style="146"/>
    <col min="3630" max="3630" width="9.28515625" style="146" customWidth="1"/>
    <col min="3631" max="3631" width="59.7109375" style="146" customWidth="1"/>
    <col min="3632" max="3632" width="14.140625" style="146" customWidth="1"/>
    <col min="3633" max="3633" width="12.85546875" style="146" customWidth="1"/>
    <col min="3634" max="3634" width="17.28515625" style="146" customWidth="1"/>
    <col min="3635" max="3635" width="8.85546875" style="146"/>
    <col min="3636" max="3636" width="10.85546875" style="146" customWidth="1"/>
    <col min="3637" max="3637" width="8.85546875" style="146"/>
    <col min="3638" max="3638" width="15.42578125" style="146" customWidth="1"/>
    <col min="3639" max="3639" width="11.5703125" style="146" customWidth="1"/>
    <col min="3640" max="3641" width="8.85546875" style="146"/>
    <col min="3642" max="3642" width="9.28515625" style="146" customWidth="1"/>
    <col min="3643" max="3643" width="59.7109375" style="146" customWidth="1"/>
    <col min="3644" max="3644" width="14.140625" style="146" customWidth="1"/>
    <col min="3645" max="3645" width="12.85546875" style="146" customWidth="1"/>
    <col min="3646" max="3646" width="17.28515625" style="146" customWidth="1"/>
    <col min="3647" max="3647" width="8.85546875" style="146"/>
    <col min="3648" max="3648" width="10.85546875" style="146" customWidth="1"/>
    <col min="3649" max="3649" width="8.85546875" style="146"/>
    <col min="3650" max="3650" width="15.42578125" style="146" customWidth="1"/>
    <col min="3651" max="3651" width="11.5703125" style="146" customWidth="1"/>
    <col min="3652" max="3656" width="8.85546875" style="146"/>
    <col min="3657" max="3657" width="68.5703125" style="146" customWidth="1"/>
    <col min="3658" max="3658" width="14" style="146" bestFit="1" customWidth="1"/>
    <col min="3659" max="3659" width="10.28515625" style="146" bestFit="1" customWidth="1"/>
    <col min="3660" max="3660" width="7.7109375" style="146" bestFit="1" customWidth="1"/>
    <col min="3661" max="3661" width="8.85546875" style="146"/>
    <col min="3662" max="3662" width="11" style="146" bestFit="1" customWidth="1"/>
    <col min="3663" max="3665" width="8.85546875" style="146"/>
    <col min="3666" max="3666" width="11.85546875" style="146" bestFit="1" customWidth="1"/>
    <col min="3667" max="3840" width="8.85546875" style="146"/>
    <col min="3841" max="3841" width="8.42578125" style="146" customWidth="1"/>
    <col min="3842" max="3842" width="45.5703125" style="146" customWidth="1"/>
    <col min="3843" max="3843" width="13.28515625" style="146" customWidth="1"/>
    <col min="3844" max="3844" width="10.5703125" style="146" customWidth="1"/>
    <col min="3845" max="3845" width="7.7109375" style="146" customWidth="1"/>
    <col min="3846" max="3846" width="8.42578125" style="146" customWidth="1"/>
    <col min="3847" max="3847" width="12.5703125" style="146" customWidth="1"/>
    <col min="3848" max="3848" width="7.85546875" style="146" customWidth="1"/>
    <col min="3849" max="3849" width="45" style="146" customWidth="1"/>
    <col min="3850" max="3850" width="13.28515625" style="146" customWidth="1"/>
    <col min="3851" max="3851" width="11" style="146" customWidth="1"/>
    <col min="3852" max="3852" width="7.5703125" style="146" customWidth="1"/>
    <col min="3853" max="3853" width="8.85546875" style="146"/>
    <col min="3854" max="3854" width="8" style="146" customWidth="1"/>
    <col min="3855" max="3855" width="43.42578125" style="146" customWidth="1"/>
    <col min="3856" max="3856" width="13.7109375" style="146" customWidth="1"/>
    <col min="3857" max="3857" width="10.85546875" style="146" customWidth="1"/>
    <col min="3858" max="3858" width="7.5703125" style="146" customWidth="1"/>
    <col min="3859" max="3859" width="8.85546875" style="146"/>
    <col min="3860" max="3860" width="8.28515625" style="146" customWidth="1"/>
    <col min="3861" max="3861" width="48.28515625" style="146" customWidth="1"/>
    <col min="3862" max="3862" width="13.28515625" style="146" customWidth="1"/>
    <col min="3863" max="3863" width="10.28515625" style="146" customWidth="1"/>
    <col min="3864" max="3864" width="14.85546875" style="146" customWidth="1"/>
    <col min="3865" max="3865" width="11.5703125" style="146" customWidth="1"/>
    <col min="3866" max="3866" width="8.85546875" style="146"/>
    <col min="3867" max="3867" width="9.28515625" style="146" customWidth="1"/>
    <col min="3868" max="3868" width="59.7109375" style="146" customWidth="1"/>
    <col min="3869" max="3869" width="14.140625" style="146" customWidth="1"/>
    <col min="3870" max="3870" width="12.85546875" style="146" customWidth="1"/>
    <col min="3871" max="3871" width="17.28515625" style="146" customWidth="1"/>
    <col min="3872" max="3873" width="8.85546875" style="146"/>
    <col min="3874" max="3874" width="9.28515625" style="146" customWidth="1"/>
    <col min="3875" max="3875" width="59.7109375" style="146" customWidth="1"/>
    <col min="3876" max="3876" width="14.140625" style="146" customWidth="1"/>
    <col min="3877" max="3877" width="12.85546875" style="146" customWidth="1"/>
    <col min="3878" max="3878" width="17.28515625" style="146" customWidth="1"/>
    <col min="3879" max="3879" width="8.85546875" style="146"/>
    <col min="3880" max="3880" width="10.85546875" style="146" customWidth="1"/>
    <col min="3881" max="3881" width="8.85546875" style="146"/>
    <col min="3882" max="3882" width="15.42578125" style="146" customWidth="1"/>
    <col min="3883" max="3883" width="11.5703125" style="146" customWidth="1"/>
    <col min="3884" max="3885" width="8.85546875" style="146"/>
    <col min="3886" max="3886" width="9.28515625" style="146" customWidth="1"/>
    <col min="3887" max="3887" width="59.7109375" style="146" customWidth="1"/>
    <col min="3888" max="3888" width="14.140625" style="146" customWidth="1"/>
    <col min="3889" max="3889" width="12.85546875" style="146" customWidth="1"/>
    <col min="3890" max="3890" width="17.28515625" style="146" customWidth="1"/>
    <col min="3891" max="3891" width="8.85546875" style="146"/>
    <col min="3892" max="3892" width="10.85546875" style="146" customWidth="1"/>
    <col min="3893" max="3893" width="8.85546875" style="146"/>
    <col min="3894" max="3894" width="15.42578125" style="146" customWidth="1"/>
    <col min="3895" max="3895" width="11.5703125" style="146" customWidth="1"/>
    <col min="3896" max="3897" width="8.85546875" style="146"/>
    <col min="3898" max="3898" width="9.28515625" style="146" customWidth="1"/>
    <col min="3899" max="3899" width="59.7109375" style="146" customWidth="1"/>
    <col min="3900" max="3900" width="14.140625" style="146" customWidth="1"/>
    <col min="3901" max="3901" width="12.85546875" style="146" customWidth="1"/>
    <col min="3902" max="3902" width="17.28515625" style="146" customWidth="1"/>
    <col min="3903" max="3903" width="8.85546875" style="146"/>
    <col min="3904" max="3904" width="10.85546875" style="146" customWidth="1"/>
    <col min="3905" max="3905" width="8.85546875" style="146"/>
    <col min="3906" max="3906" width="15.42578125" style="146" customWidth="1"/>
    <col min="3907" max="3907" width="11.5703125" style="146" customWidth="1"/>
    <col min="3908" max="3912" width="8.85546875" style="146"/>
    <col min="3913" max="3913" width="68.5703125" style="146" customWidth="1"/>
    <col min="3914" max="3914" width="14" style="146" bestFit="1" customWidth="1"/>
    <col min="3915" max="3915" width="10.28515625" style="146" bestFit="1" customWidth="1"/>
    <col min="3916" max="3916" width="7.7109375" style="146" bestFit="1" customWidth="1"/>
    <col min="3917" max="3917" width="8.85546875" style="146"/>
    <col min="3918" max="3918" width="11" style="146" bestFit="1" customWidth="1"/>
    <col min="3919" max="3921" width="8.85546875" style="146"/>
    <col min="3922" max="3922" width="11.85546875" style="146" bestFit="1" customWidth="1"/>
    <col min="3923" max="4096" width="8.85546875" style="146"/>
    <col min="4097" max="4097" width="8.42578125" style="146" customWidth="1"/>
    <col min="4098" max="4098" width="45.5703125" style="146" customWidth="1"/>
    <col min="4099" max="4099" width="13.28515625" style="146" customWidth="1"/>
    <col min="4100" max="4100" width="10.5703125" style="146" customWidth="1"/>
    <col min="4101" max="4101" width="7.7109375" style="146" customWidth="1"/>
    <col min="4102" max="4102" width="8.42578125" style="146" customWidth="1"/>
    <col min="4103" max="4103" width="12.5703125" style="146" customWidth="1"/>
    <col min="4104" max="4104" width="7.85546875" style="146" customWidth="1"/>
    <col min="4105" max="4105" width="45" style="146" customWidth="1"/>
    <col min="4106" max="4106" width="13.28515625" style="146" customWidth="1"/>
    <col min="4107" max="4107" width="11" style="146" customWidth="1"/>
    <col min="4108" max="4108" width="7.5703125" style="146" customWidth="1"/>
    <col min="4109" max="4109" width="8.85546875" style="146"/>
    <col min="4110" max="4110" width="8" style="146" customWidth="1"/>
    <col min="4111" max="4111" width="43.42578125" style="146" customWidth="1"/>
    <col min="4112" max="4112" width="13.7109375" style="146" customWidth="1"/>
    <col min="4113" max="4113" width="10.85546875" style="146" customWidth="1"/>
    <col min="4114" max="4114" width="7.5703125" style="146" customWidth="1"/>
    <col min="4115" max="4115" width="8.85546875" style="146"/>
    <col min="4116" max="4116" width="8.28515625" style="146" customWidth="1"/>
    <col min="4117" max="4117" width="48.28515625" style="146" customWidth="1"/>
    <col min="4118" max="4118" width="13.28515625" style="146" customWidth="1"/>
    <col min="4119" max="4119" width="10.28515625" style="146" customWidth="1"/>
    <col min="4120" max="4120" width="14.85546875" style="146" customWidth="1"/>
    <col min="4121" max="4121" width="11.5703125" style="146" customWidth="1"/>
    <col min="4122" max="4122" width="8.85546875" style="146"/>
    <col min="4123" max="4123" width="9.28515625" style="146" customWidth="1"/>
    <col min="4124" max="4124" width="59.7109375" style="146" customWidth="1"/>
    <col min="4125" max="4125" width="14.140625" style="146" customWidth="1"/>
    <col min="4126" max="4126" width="12.85546875" style="146" customWidth="1"/>
    <col min="4127" max="4127" width="17.28515625" style="146" customWidth="1"/>
    <col min="4128" max="4129" width="8.85546875" style="146"/>
    <col min="4130" max="4130" width="9.28515625" style="146" customWidth="1"/>
    <col min="4131" max="4131" width="59.7109375" style="146" customWidth="1"/>
    <col min="4132" max="4132" width="14.140625" style="146" customWidth="1"/>
    <col min="4133" max="4133" width="12.85546875" style="146" customWidth="1"/>
    <col min="4134" max="4134" width="17.28515625" style="146" customWidth="1"/>
    <col min="4135" max="4135" width="8.85546875" style="146"/>
    <col min="4136" max="4136" width="10.85546875" style="146" customWidth="1"/>
    <col min="4137" max="4137" width="8.85546875" style="146"/>
    <col min="4138" max="4138" width="15.42578125" style="146" customWidth="1"/>
    <col min="4139" max="4139" width="11.5703125" style="146" customWidth="1"/>
    <col min="4140" max="4141" width="8.85546875" style="146"/>
    <col min="4142" max="4142" width="9.28515625" style="146" customWidth="1"/>
    <col min="4143" max="4143" width="59.7109375" style="146" customWidth="1"/>
    <col min="4144" max="4144" width="14.140625" style="146" customWidth="1"/>
    <col min="4145" max="4145" width="12.85546875" style="146" customWidth="1"/>
    <col min="4146" max="4146" width="17.28515625" style="146" customWidth="1"/>
    <col min="4147" max="4147" width="8.85546875" style="146"/>
    <col min="4148" max="4148" width="10.85546875" style="146" customWidth="1"/>
    <col min="4149" max="4149" width="8.85546875" style="146"/>
    <col min="4150" max="4150" width="15.42578125" style="146" customWidth="1"/>
    <col min="4151" max="4151" width="11.5703125" style="146" customWidth="1"/>
    <col min="4152" max="4153" width="8.85546875" style="146"/>
    <col min="4154" max="4154" width="9.28515625" style="146" customWidth="1"/>
    <col min="4155" max="4155" width="59.7109375" style="146" customWidth="1"/>
    <col min="4156" max="4156" width="14.140625" style="146" customWidth="1"/>
    <col min="4157" max="4157" width="12.85546875" style="146" customWidth="1"/>
    <col min="4158" max="4158" width="17.28515625" style="146" customWidth="1"/>
    <col min="4159" max="4159" width="8.85546875" style="146"/>
    <col min="4160" max="4160" width="10.85546875" style="146" customWidth="1"/>
    <col min="4161" max="4161" width="8.85546875" style="146"/>
    <col min="4162" max="4162" width="15.42578125" style="146" customWidth="1"/>
    <col min="4163" max="4163" width="11.5703125" style="146" customWidth="1"/>
    <col min="4164" max="4168" width="8.85546875" style="146"/>
    <col min="4169" max="4169" width="68.5703125" style="146" customWidth="1"/>
    <col min="4170" max="4170" width="14" style="146" bestFit="1" customWidth="1"/>
    <col min="4171" max="4171" width="10.28515625" style="146" bestFit="1" customWidth="1"/>
    <col min="4172" max="4172" width="7.7109375" style="146" bestFit="1" customWidth="1"/>
    <col min="4173" max="4173" width="8.85546875" style="146"/>
    <col min="4174" max="4174" width="11" style="146" bestFit="1" customWidth="1"/>
    <col min="4175" max="4177" width="8.85546875" style="146"/>
    <col min="4178" max="4178" width="11.85546875" style="146" bestFit="1" customWidth="1"/>
    <col min="4179" max="4352" width="8.85546875" style="146"/>
    <col min="4353" max="4353" width="8.42578125" style="146" customWidth="1"/>
    <col min="4354" max="4354" width="45.5703125" style="146" customWidth="1"/>
    <col min="4355" max="4355" width="13.28515625" style="146" customWidth="1"/>
    <col min="4356" max="4356" width="10.5703125" style="146" customWidth="1"/>
    <col min="4357" max="4357" width="7.7109375" style="146" customWidth="1"/>
    <col min="4358" max="4358" width="8.42578125" style="146" customWidth="1"/>
    <col min="4359" max="4359" width="12.5703125" style="146" customWidth="1"/>
    <col min="4360" max="4360" width="7.85546875" style="146" customWidth="1"/>
    <col min="4361" max="4361" width="45" style="146" customWidth="1"/>
    <col min="4362" max="4362" width="13.28515625" style="146" customWidth="1"/>
    <col min="4363" max="4363" width="11" style="146" customWidth="1"/>
    <col min="4364" max="4364" width="7.5703125" style="146" customWidth="1"/>
    <col min="4365" max="4365" width="8.85546875" style="146"/>
    <col min="4366" max="4366" width="8" style="146" customWidth="1"/>
    <col min="4367" max="4367" width="43.42578125" style="146" customWidth="1"/>
    <col min="4368" max="4368" width="13.7109375" style="146" customWidth="1"/>
    <col min="4369" max="4369" width="10.85546875" style="146" customWidth="1"/>
    <col min="4370" max="4370" width="7.5703125" style="146" customWidth="1"/>
    <col min="4371" max="4371" width="8.85546875" style="146"/>
    <col min="4372" max="4372" width="8.28515625" style="146" customWidth="1"/>
    <col min="4373" max="4373" width="48.28515625" style="146" customWidth="1"/>
    <col min="4374" max="4374" width="13.28515625" style="146" customWidth="1"/>
    <col min="4375" max="4375" width="10.28515625" style="146" customWidth="1"/>
    <col min="4376" max="4376" width="14.85546875" style="146" customWidth="1"/>
    <col min="4377" max="4377" width="11.5703125" style="146" customWidth="1"/>
    <col min="4378" max="4378" width="8.85546875" style="146"/>
    <col min="4379" max="4379" width="9.28515625" style="146" customWidth="1"/>
    <col min="4380" max="4380" width="59.7109375" style="146" customWidth="1"/>
    <col min="4381" max="4381" width="14.140625" style="146" customWidth="1"/>
    <col min="4382" max="4382" width="12.85546875" style="146" customWidth="1"/>
    <col min="4383" max="4383" width="17.28515625" style="146" customWidth="1"/>
    <col min="4384" max="4385" width="8.85546875" style="146"/>
    <col min="4386" max="4386" width="9.28515625" style="146" customWidth="1"/>
    <col min="4387" max="4387" width="59.7109375" style="146" customWidth="1"/>
    <col min="4388" max="4388" width="14.140625" style="146" customWidth="1"/>
    <col min="4389" max="4389" width="12.85546875" style="146" customWidth="1"/>
    <col min="4390" max="4390" width="17.28515625" style="146" customWidth="1"/>
    <col min="4391" max="4391" width="8.85546875" style="146"/>
    <col min="4392" max="4392" width="10.85546875" style="146" customWidth="1"/>
    <col min="4393" max="4393" width="8.85546875" style="146"/>
    <col min="4394" max="4394" width="15.42578125" style="146" customWidth="1"/>
    <col min="4395" max="4395" width="11.5703125" style="146" customWidth="1"/>
    <col min="4396" max="4397" width="8.85546875" style="146"/>
    <col min="4398" max="4398" width="9.28515625" style="146" customWidth="1"/>
    <col min="4399" max="4399" width="59.7109375" style="146" customWidth="1"/>
    <col min="4400" max="4400" width="14.140625" style="146" customWidth="1"/>
    <col min="4401" max="4401" width="12.85546875" style="146" customWidth="1"/>
    <col min="4402" max="4402" width="17.28515625" style="146" customWidth="1"/>
    <col min="4403" max="4403" width="8.85546875" style="146"/>
    <col min="4404" max="4404" width="10.85546875" style="146" customWidth="1"/>
    <col min="4405" max="4405" width="8.85546875" style="146"/>
    <col min="4406" max="4406" width="15.42578125" style="146" customWidth="1"/>
    <col min="4407" max="4407" width="11.5703125" style="146" customWidth="1"/>
    <col min="4408" max="4409" width="8.85546875" style="146"/>
    <col min="4410" max="4410" width="9.28515625" style="146" customWidth="1"/>
    <col min="4411" max="4411" width="59.7109375" style="146" customWidth="1"/>
    <col min="4412" max="4412" width="14.140625" style="146" customWidth="1"/>
    <col min="4413" max="4413" width="12.85546875" style="146" customWidth="1"/>
    <col min="4414" max="4414" width="17.28515625" style="146" customWidth="1"/>
    <col min="4415" max="4415" width="8.85546875" style="146"/>
    <col min="4416" max="4416" width="10.85546875" style="146" customWidth="1"/>
    <col min="4417" max="4417" width="8.85546875" style="146"/>
    <col min="4418" max="4418" width="15.42578125" style="146" customWidth="1"/>
    <col min="4419" max="4419" width="11.5703125" style="146" customWidth="1"/>
    <col min="4420" max="4424" width="8.85546875" style="146"/>
    <col min="4425" max="4425" width="68.5703125" style="146" customWidth="1"/>
    <col min="4426" max="4426" width="14" style="146" bestFit="1" customWidth="1"/>
    <col min="4427" max="4427" width="10.28515625" style="146" bestFit="1" customWidth="1"/>
    <col min="4428" max="4428" width="7.7109375" style="146" bestFit="1" customWidth="1"/>
    <col min="4429" max="4429" width="8.85546875" style="146"/>
    <col min="4430" max="4430" width="11" style="146" bestFit="1" customWidth="1"/>
    <col min="4431" max="4433" width="8.85546875" style="146"/>
    <col min="4434" max="4434" width="11.85546875" style="146" bestFit="1" customWidth="1"/>
    <col min="4435" max="4608" width="8.85546875" style="146"/>
    <col min="4609" max="4609" width="8.42578125" style="146" customWidth="1"/>
    <col min="4610" max="4610" width="45.5703125" style="146" customWidth="1"/>
    <col min="4611" max="4611" width="13.28515625" style="146" customWidth="1"/>
    <col min="4612" max="4612" width="10.5703125" style="146" customWidth="1"/>
    <col min="4613" max="4613" width="7.7109375" style="146" customWidth="1"/>
    <col min="4614" max="4614" width="8.42578125" style="146" customWidth="1"/>
    <col min="4615" max="4615" width="12.5703125" style="146" customWidth="1"/>
    <col min="4616" max="4616" width="7.85546875" style="146" customWidth="1"/>
    <col min="4617" max="4617" width="45" style="146" customWidth="1"/>
    <col min="4618" max="4618" width="13.28515625" style="146" customWidth="1"/>
    <col min="4619" max="4619" width="11" style="146" customWidth="1"/>
    <col min="4620" max="4620" width="7.5703125" style="146" customWidth="1"/>
    <col min="4621" max="4621" width="8.85546875" style="146"/>
    <col min="4622" max="4622" width="8" style="146" customWidth="1"/>
    <col min="4623" max="4623" width="43.42578125" style="146" customWidth="1"/>
    <col min="4624" max="4624" width="13.7109375" style="146" customWidth="1"/>
    <col min="4625" max="4625" width="10.85546875" style="146" customWidth="1"/>
    <col min="4626" max="4626" width="7.5703125" style="146" customWidth="1"/>
    <col min="4627" max="4627" width="8.85546875" style="146"/>
    <col min="4628" max="4628" width="8.28515625" style="146" customWidth="1"/>
    <col min="4629" max="4629" width="48.28515625" style="146" customWidth="1"/>
    <col min="4630" max="4630" width="13.28515625" style="146" customWidth="1"/>
    <col min="4631" max="4631" width="10.28515625" style="146" customWidth="1"/>
    <col min="4632" max="4632" width="14.85546875" style="146" customWidth="1"/>
    <col min="4633" max="4633" width="11.5703125" style="146" customWidth="1"/>
    <col min="4634" max="4634" width="8.85546875" style="146"/>
    <col min="4635" max="4635" width="9.28515625" style="146" customWidth="1"/>
    <col min="4636" max="4636" width="59.7109375" style="146" customWidth="1"/>
    <col min="4637" max="4637" width="14.140625" style="146" customWidth="1"/>
    <col min="4638" max="4638" width="12.85546875" style="146" customWidth="1"/>
    <col min="4639" max="4639" width="17.28515625" style="146" customWidth="1"/>
    <col min="4640" max="4641" width="8.85546875" style="146"/>
    <col min="4642" max="4642" width="9.28515625" style="146" customWidth="1"/>
    <col min="4643" max="4643" width="59.7109375" style="146" customWidth="1"/>
    <col min="4644" max="4644" width="14.140625" style="146" customWidth="1"/>
    <col min="4645" max="4645" width="12.85546875" style="146" customWidth="1"/>
    <col min="4646" max="4646" width="17.28515625" style="146" customWidth="1"/>
    <col min="4647" max="4647" width="8.85546875" style="146"/>
    <col min="4648" max="4648" width="10.85546875" style="146" customWidth="1"/>
    <col min="4649" max="4649" width="8.85546875" style="146"/>
    <col min="4650" max="4650" width="15.42578125" style="146" customWidth="1"/>
    <col min="4651" max="4651" width="11.5703125" style="146" customWidth="1"/>
    <col min="4652" max="4653" width="8.85546875" style="146"/>
    <col min="4654" max="4654" width="9.28515625" style="146" customWidth="1"/>
    <col min="4655" max="4655" width="59.7109375" style="146" customWidth="1"/>
    <col min="4656" max="4656" width="14.140625" style="146" customWidth="1"/>
    <col min="4657" max="4657" width="12.85546875" style="146" customWidth="1"/>
    <col min="4658" max="4658" width="17.28515625" style="146" customWidth="1"/>
    <col min="4659" max="4659" width="8.85546875" style="146"/>
    <col min="4660" max="4660" width="10.85546875" style="146" customWidth="1"/>
    <col min="4661" max="4661" width="8.85546875" style="146"/>
    <col min="4662" max="4662" width="15.42578125" style="146" customWidth="1"/>
    <col min="4663" max="4663" width="11.5703125" style="146" customWidth="1"/>
    <col min="4664" max="4665" width="8.85546875" style="146"/>
    <col min="4666" max="4666" width="9.28515625" style="146" customWidth="1"/>
    <col min="4667" max="4667" width="59.7109375" style="146" customWidth="1"/>
    <col min="4668" max="4668" width="14.140625" style="146" customWidth="1"/>
    <col min="4669" max="4669" width="12.85546875" style="146" customWidth="1"/>
    <col min="4670" max="4670" width="17.28515625" style="146" customWidth="1"/>
    <col min="4671" max="4671" width="8.85546875" style="146"/>
    <col min="4672" max="4672" width="10.85546875" style="146" customWidth="1"/>
    <col min="4673" max="4673" width="8.85546875" style="146"/>
    <col min="4674" max="4674" width="15.42578125" style="146" customWidth="1"/>
    <col min="4675" max="4675" width="11.5703125" style="146" customWidth="1"/>
    <col min="4676" max="4680" width="8.85546875" style="146"/>
    <col min="4681" max="4681" width="68.5703125" style="146" customWidth="1"/>
    <col min="4682" max="4682" width="14" style="146" bestFit="1" customWidth="1"/>
    <col min="4683" max="4683" width="10.28515625" style="146" bestFit="1" customWidth="1"/>
    <col min="4684" max="4684" width="7.7109375" style="146" bestFit="1" customWidth="1"/>
    <col min="4685" max="4685" width="8.85546875" style="146"/>
    <col min="4686" max="4686" width="11" style="146" bestFit="1" customWidth="1"/>
    <col min="4687" max="4689" width="8.85546875" style="146"/>
    <col min="4690" max="4690" width="11.85546875" style="146" bestFit="1" customWidth="1"/>
    <col min="4691" max="4864" width="8.85546875" style="146"/>
    <col min="4865" max="4865" width="8.42578125" style="146" customWidth="1"/>
    <col min="4866" max="4866" width="45.5703125" style="146" customWidth="1"/>
    <col min="4867" max="4867" width="13.28515625" style="146" customWidth="1"/>
    <col min="4868" max="4868" width="10.5703125" style="146" customWidth="1"/>
    <col min="4869" max="4869" width="7.7109375" style="146" customWidth="1"/>
    <col min="4870" max="4870" width="8.42578125" style="146" customWidth="1"/>
    <col min="4871" max="4871" width="12.5703125" style="146" customWidth="1"/>
    <col min="4872" max="4872" width="7.85546875" style="146" customWidth="1"/>
    <col min="4873" max="4873" width="45" style="146" customWidth="1"/>
    <col min="4874" max="4874" width="13.28515625" style="146" customWidth="1"/>
    <col min="4875" max="4875" width="11" style="146" customWidth="1"/>
    <col min="4876" max="4876" width="7.5703125" style="146" customWidth="1"/>
    <col min="4877" max="4877" width="8.85546875" style="146"/>
    <col min="4878" max="4878" width="8" style="146" customWidth="1"/>
    <col min="4879" max="4879" width="43.42578125" style="146" customWidth="1"/>
    <col min="4880" max="4880" width="13.7109375" style="146" customWidth="1"/>
    <col min="4881" max="4881" width="10.85546875" style="146" customWidth="1"/>
    <col min="4882" max="4882" width="7.5703125" style="146" customWidth="1"/>
    <col min="4883" max="4883" width="8.85546875" style="146"/>
    <col min="4884" max="4884" width="8.28515625" style="146" customWidth="1"/>
    <col min="4885" max="4885" width="48.28515625" style="146" customWidth="1"/>
    <col min="4886" max="4886" width="13.28515625" style="146" customWidth="1"/>
    <col min="4887" max="4887" width="10.28515625" style="146" customWidth="1"/>
    <col min="4888" max="4888" width="14.85546875" style="146" customWidth="1"/>
    <col min="4889" max="4889" width="11.5703125" style="146" customWidth="1"/>
    <col min="4890" max="4890" width="8.85546875" style="146"/>
    <col min="4891" max="4891" width="9.28515625" style="146" customWidth="1"/>
    <col min="4892" max="4892" width="59.7109375" style="146" customWidth="1"/>
    <col min="4893" max="4893" width="14.140625" style="146" customWidth="1"/>
    <col min="4894" max="4894" width="12.85546875" style="146" customWidth="1"/>
    <col min="4895" max="4895" width="17.28515625" style="146" customWidth="1"/>
    <col min="4896" max="4897" width="8.85546875" style="146"/>
    <col min="4898" max="4898" width="9.28515625" style="146" customWidth="1"/>
    <col min="4899" max="4899" width="59.7109375" style="146" customWidth="1"/>
    <col min="4900" max="4900" width="14.140625" style="146" customWidth="1"/>
    <col min="4901" max="4901" width="12.85546875" style="146" customWidth="1"/>
    <col min="4902" max="4902" width="17.28515625" style="146" customWidth="1"/>
    <col min="4903" max="4903" width="8.85546875" style="146"/>
    <col min="4904" max="4904" width="10.85546875" style="146" customWidth="1"/>
    <col min="4905" max="4905" width="8.85546875" style="146"/>
    <col min="4906" max="4906" width="15.42578125" style="146" customWidth="1"/>
    <col min="4907" max="4907" width="11.5703125" style="146" customWidth="1"/>
    <col min="4908" max="4909" width="8.85546875" style="146"/>
    <col min="4910" max="4910" width="9.28515625" style="146" customWidth="1"/>
    <col min="4911" max="4911" width="59.7109375" style="146" customWidth="1"/>
    <col min="4912" max="4912" width="14.140625" style="146" customWidth="1"/>
    <col min="4913" max="4913" width="12.85546875" style="146" customWidth="1"/>
    <col min="4914" max="4914" width="17.28515625" style="146" customWidth="1"/>
    <col min="4915" max="4915" width="8.85546875" style="146"/>
    <col min="4916" max="4916" width="10.85546875" style="146" customWidth="1"/>
    <col min="4917" max="4917" width="8.85546875" style="146"/>
    <col min="4918" max="4918" width="15.42578125" style="146" customWidth="1"/>
    <col min="4919" max="4919" width="11.5703125" style="146" customWidth="1"/>
    <col min="4920" max="4921" width="8.85546875" style="146"/>
    <col min="4922" max="4922" width="9.28515625" style="146" customWidth="1"/>
    <col min="4923" max="4923" width="59.7109375" style="146" customWidth="1"/>
    <col min="4924" max="4924" width="14.140625" style="146" customWidth="1"/>
    <col min="4925" max="4925" width="12.85546875" style="146" customWidth="1"/>
    <col min="4926" max="4926" width="17.28515625" style="146" customWidth="1"/>
    <col min="4927" max="4927" width="8.85546875" style="146"/>
    <col min="4928" max="4928" width="10.85546875" style="146" customWidth="1"/>
    <col min="4929" max="4929" width="8.85546875" style="146"/>
    <col min="4930" max="4930" width="15.42578125" style="146" customWidth="1"/>
    <col min="4931" max="4931" width="11.5703125" style="146" customWidth="1"/>
    <col min="4932" max="4936" width="8.85546875" style="146"/>
    <col min="4937" max="4937" width="68.5703125" style="146" customWidth="1"/>
    <col min="4938" max="4938" width="14" style="146" bestFit="1" customWidth="1"/>
    <col min="4939" max="4939" width="10.28515625" style="146" bestFit="1" customWidth="1"/>
    <col min="4940" max="4940" width="7.7109375" style="146" bestFit="1" customWidth="1"/>
    <col min="4941" max="4941" width="8.85546875" style="146"/>
    <col min="4942" max="4942" width="11" style="146" bestFit="1" customWidth="1"/>
    <col min="4943" max="4945" width="8.85546875" style="146"/>
    <col min="4946" max="4946" width="11.85546875" style="146" bestFit="1" customWidth="1"/>
    <col min="4947" max="5120" width="8.85546875" style="146"/>
    <col min="5121" max="5121" width="8.42578125" style="146" customWidth="1"/>
    <col min="5122" max="5122" width="45.5703125" style="146" customWidth="1"/>
    <col min="5123" max="5123" width="13.28515625" style="146" customWidth="1"/>
    <col min="5124" max="5124" width="10.5703125" style="146" customWidth="1"/>
    <col min="5125" max="5125" width="7.7109375" style="146" customWidth="1"/>
    <col min="5126" max="5126" width="8.42578125" style="146" customWidth="1"/>
    <col min="5127" max="5127" width="12.5703125" style="146" customWidth="1"/>
    <col min="5128" max="5128" width="7.85546875" style="146" customWidth="1"/>
    <col min="5129" max="5129" width="45" style="146" customWidth="1"/>
    <col min="5130" max="5130" width="13.28515625" style="146" customWidth="1"/>
    <col min="5131" max="5131" width="11" style="146" customWidth="1"/>
    <col min="5132" max="5132" width="7.5703125" style="146" customWidth="1"/>
    <col min="5133" max="5133" width="8.85546875" style="146"/>
    <col min="5134" max="5134" width="8" style="146" customWidth="1"/>
    <col min="5135" max="5135" width="43.42578125" style="146" customWidth="1"/>
    <col min="5136" max="5136" width="13.7109375" style="146" customWidth="1"/>
    <col min="5137" max="5137" width="10.85546875" style="146" customWidth="1"/>
    <col min="5138" max="5138" width="7.5703125" style="146" customWidth="1"/>
    <col min="5139" max="5139" width="8.85546875" style="146"/>
    <col min="5140" max="5140" width="8.28515625" style="146" customWidth="1"/>
    <col min="5141" max="5141" width="48.28515625" style="146" customWidth="1"/>
    <col min="5142" max="5142" width="13.28515625" style="146" customWidth="1"/>
    <col min="5143" max="5143" width="10.28515625" style="146" customWidth="1"/>
    <col min="5144" max="5144" width="14.85546875" style="146" customWidth="1"/>
    <col min="5145" max="5145" width="11.5703125" style="146" customWidth="1"/>
    <col min="5146" max="5146" width="8.85546875" style="146"/>
    <col min="5147" max="5147" width="9.28515625" style="146" customWidth="1"/>
    <col min="5148" max="5148" width="59.7109375" style="146" customWidth="1"/>
    <col min="5149" max="5149" width="14.140625" style="146" customWidth="1"/>
    <col min="5150" max="5150" width="12.85546875" style="146" customWidth="1"/>
    <col min="5151" max="5151" width="17.28515625" style="146" customWidth="1"/>
    <col min="5152" max="5153" width="8.85546875" style="146"/>
    <col min="5154" max="5154" width="9.28515625" style="146" customWidth="1"/>
    <col min="5155" max="5155" width="59.7109375" style="146" customWidth="1"/>
    <col min="5156" max="5156" width="14.140625" style="146" customWidth="1"/>
    <col min="5157" max="5157" width="12.85546875" style="146" customWidth="1"/>
    <col min="5158" max="5158" width="17.28515625" style="146" customWidth="1"/>
    <col min="5159" max="5159" width="8.85546875" style="146"/>
    <col min="5160" max="5160" width="10.85546875" style="146" customWidth="1"/>
    <col min="5161" max="5161" width="8.85546875" style="146"/>
    <col min="5162" max="5162" width="15.42578125" style="146" customWidth="1"/>
    <col min="5163" max="5163" width="11.5703125" style="146" customWidth="1"/>
    <col min="5164" max="5165" width="8.85546875" style="146"/>
    <col min="5166" max="5166" width="9.28515625" style="146" customWidth="1"/>
    <col min="5167" max="5167" width="59.7109375" style="146" customWidth="1"/>
    <col min="5168" max="5168" width="14.140625" style="146" customWidth="1"/>
    <col min="5169" max="5169" width="12.85546875" style="146" customWidth="1"/>
    <col min="5170" max="5170" width="17.28515625" style="146" customWidth="1"/>
    <col min="5171" max="5171" width="8.85546875" style="146"/>
    <col min="5172" max="5172" width="10.85546875" style="146" customWidth="1"/>
    <col min="5173" max="5173" width="8.85546875" style="146"/>
    <col min="5174" max="5174" width="15.42578125" style="146" customWidth="1"/>
    <col min="5175" max="5175" width="11.5703125" style="146" customWidth="1"/>
    <col min="5176" max="5177" width="8.85546875" style="146"/>
    <col min="5178" max="5178" width="9.28515625" style="146" customWidth="1"/>
    <col min="5179" max="5179" width="59.7109375" style="146" customWidth="1"/>
    <col min="5180" max="5180" width="14.140625" style="146" customWidth="1"/>
    <col min="5181" max="5181" width="12.85546875" style="146" customWidth="1"/>
    <col min="5182" max="5182" width="17.28515625" style="146" customWidth="1"/>
    <col min="5183" max="5183" width="8.85546875" style="146"/>
    <col min="5184" max="5184" width="10.85546875" style="146" customWidth="1"/>
    <col min="5185" max="5185" width="8.85546875" style="146"/>
    <col min="5186" max="5186" width="15.42578125" style="146" customWidth="1"/>
    <col min="5187" max="5187" width="11.5703125" style="146" customWidth="1"/>
    <col min="5188" max="5192" width="8.85546875" style="146"/>
    <col min="5193" max="5193" width="68.5703125" style="146" customWidth="1"/>
    <col min="5194" max="5194" width="14" style="146" bestFit="1" customWidth="1"/>
    <col min="5195" max="5195" width="10.28515625" style="146" bestFit="1" customWidth="1"/>
    <col min="5196" max="5196" width="7.7109375" style="146" bestFit="1" customWidth="1"/>
    <col min="5197" max="5197" width="8.85546875" style="146"/>
    <col min="5198" max="5198" width="11" style="146" bestFit="1" customWidth="1"/>
    <col min="5199" max="5201" width="8.85546875" style="146"/>
    <col min="5202" max="5202" width="11.85546875" style="146" bestFit="1" customWidth="1"/>
    <col min="5203" max="5376" width="8.85546875" style="146"/>
    <col min="5377" max="5377" width="8.42578125" style="146" customWidth="1"/>
    <col min="5378" max="5378" width="45.5703125" style="146" customWidth="1"/>
    <col min="5379" max="5379" width="13.28515625" style="146" customWidth="1"/>
    <col min="5380" max="5380" width="10.5703125" style="146" customWidth="1"/>
    <col min="5381" max="5381" width="7.7109375" style="146" customWidth="1"/>
    <col min="5382" max="5382" width="8.42578125" style="146" customWidth="1"/>
    <col min="5383" max="5383" width="12.5703125" style="146" customWidth="1"/>
    <col min="5384" max="5384" width="7.85546875" style="146" customWidth="1"/>
    <col min="5385" max="5385" width="45" style="146" customWidth="1"/>
    <col min="5386" max="5386" width="13.28515625" style="146" customWidth="1"/>
    <col min="5387" max="5387" width="11" style="146" customWidth="1"/>
    <col min="5388" max="5388" width="7.5703125" style="146" customWidth="1"/>
    <col min="5389" max="5389" width="8.85546875" style="146"/>
    <col min="5390" max="5390" width="8" style="146" customWidth="1"/>
    <col min="5391" max="5391" width="43.42578125" style="146" customWidth="1"/>
    <col min="5392" max="5392" width="13.7109375" style="146" customWidth="1"/>
    <col min="5393" max="5393" width="10.85546875" style="146" customWidth="1"/>
    <col min="5394" max="5394" width="7.5703125" style="146" customWidth="1"/>
    <col min="5395" max="5395" width="8.85546875" style="146"/>
    <col min="5396" max="5396" width="8.28515625" style="146" customWidth="1"/>
    <col min="5397" max="5397" width="48.28515625" style="146" customWidth="1"/>
    <col min="5398" max="5398" width="13.28515625" style="146" customWidth="1"/>
    <col min="5399" max="5399" width="10.28515625" style="146" customWidth="1"/>
    <col min="5400" max="5400" width="14.85546875" style="146" customWidth="1"/>
    <col min="5401" max="5401" width="11.5703125" style="146" customWidth="1"/>
    <col min="5402" max="5402" width="8.85546875" style="146"/>
    <col min="5403" max="5403" width="9.28515625" style="146" customWidth="1"/>
    <col min="5404" max="5404" width="59.7109375" style="146" customWidth="1"/>
    <col min="5405" max="5405" width="14.140625" style="146" customWidth="1"/>
    <col min="5406" max="5406" width="12.85546875" style="146" customWidth="1"/>
    <col min="5407" max="5407" width="17.28515625" style="146" customWidth="1"/>
    <col min="5408" max="5409" width="8.85546875" style="146"/>
    <col min="5410" max="5410" width="9.28515625" style="146" customWidth="1"/>
    <col min="5411" max="5411" width="59.7109375" style="146" customWidth="1"/>
    <col min="5412" max="5412" width="14.140625" style="146" customWidth="1"/>
    <col min="5413" max="5413" width="12.85546875" style="146" customWidth="1"/>
    <col min="5414" max="5414" width="17.28515625" style="146" customWidth="1"/>
    <col min="5415" max="5415" width="8.85546875" style="146"/>
    <col min="5416" max="5416" width="10.85546875" style="146" customWidth="1"/>
    <col min="5417" max="5417" width="8.85546875" style="146"/>
    <col min="5418" max="5418" width="15.42578125" style="146" customWidth="1"/>
    <col min="5419" max="5419" width="11.5703125" style="146" customWidth="1"/>
    <col min="5420" max="5421" width="8.85546875" style="146"/>
    <col min="5422" max="5422" width="9.28515625" style="146" customWidth="1"/>
    <col min="5423" max="5423" width="59.7109375" style="146" customWidth="1"/>
    <col min="5424" max="5424" width="14.140625" style="146" customWidth="1"/>
    <col min="5425" max="5425" width="12.85546875" style="146" customWidth="1"/>
    <col min="5426" max="5426" width="17.28515625" style="146" customWidth="1"/>
    <col min="5427" max="5427" width="8.85546875" style="146"/>
    <col min="5428" max="5428" width="10.85546875" style="146" customWidth="1"/>
    <col min="5429" max="5429" width="8.85546875" style="146"/>
    <col min="5430" max="5430" width="15.42578125" style="146" customWidth="1"/>
    <col min="5431" max="5431" width="11.5703125" style="146" customWidth="1"/>
    <col min="5432" max="5433" width="8.85546875" style="146"/>
    <col min="5434" max="5434" width="9.28515625" style="146" customWidth="1"/>
    <col min="5435" max="5435" width="59.7109375" style="146" customWidth="1"/>
    <col min="5436" max="5436" width="14.140625" style="146" customWidth="1"/>
    <col min="5437" max="5437" width="12.85546875" style="146" customWidth="1"/>
    <col min="5438" max="5438" width="17.28515625" style="146" customWidth="1"/>
    <col min="5439" max="5439" width="8.85546875" style="146"/>
    <col min="5440" max="5440" width="10.85546875" style="146" customWidth="1"/>
    <col min="5441" max="5441" width="8.85546875" style="146"/>
    <col min="5442" max="5442" width="15.42578125" style="146" customWidth="1"/>
    <col min="5443" max="5443" width="11.5703125" style="146" customWidth="1"/>
    <col min="5444" max="5448" width="8.85546875" style="146"/>
    <col min="5449" max="5449" width="68.5703125" style="146" customWidth="1"/>
    <col min="5450" max="5450" width="14" style="146" bestFit="1" customWidth="1"/>
    <col min="5451" max="5451" width="10.28515625" style="146" bestFit="1" customWidth="1"/>
    <col min="5452" max="5452" width="7.7109375" style="146" bestFit="1" customWidth="1"/>
    <col min="5453" max="5453" width="8.85546875" style="146"/>
    <col min="5454" max="5454" width="11" style="146" bestFit="1" customWidth="1"/>
    <col min="5455" max="5457" width="8.85546875" style="146"/>
    <col min="5458" max="5458" width="11.85546875" style="146" bestFit="1" customWidth="1"/>
    <col min="5459" max="5632" width="8.85546875" style="146"/>
    <col min="5633" max="5633" width="8.42578125" style="146" customWidth="1"/>
    <col min="5634" max="5634" width="45.5703125" style="146" customWidth="1"/>
    <col min="5635" max="5635" width="13.28515625" style="146" customWidth="1"/>
    <col min="5636" max="5636" width="10.5703125" style="146" customWidth="1"/>
    <col min="5637" max="5637" width="7.7109375" style="146" customWidth="1"/>
    <col min="5638" max="5638" width="8.42578125" style="146" customWidth="1"/>
    <col min="5639" max="5639" width="12.5703125" style="146" customWidth="1"/>
    <col min="5640" max="5640" width="7.85546875" style="146" customWidth="1"/>
    <col min="5641" max="5641" width="45" style="146" customWidth="1"/>
    <col min="5642" max="5642" width="13.28515625" style="146" customWidth="1"/>
    <col min="5643" max="5643" width="11" style="146" customWidth="1"/>
    <col min="5644" max="5644" width="7.5703125" style="146" customWidth="1"/>
    <col min="5645" max="5645" width="8.85546875" style="146"/>
    <col min="5646" max="5646" width="8" style="146" customWidth="1"/>
    <col min="5647" max="5647" width="43.42578125" style="146" customWidth="1"/>
    <col min="5648" max="5648" width="13.7109375" style="146" customWidth="1"/>
    <col min="5649" max="5649" width="10.85546875" style="146" customWidth="1"/>
    <col min="5650" max="5650" width="7.5703125" style="146" customWidth="1"/>
    <col min="5651" max="5651" width="8.85546875" style="146"/>
    <col min="5652" max="5652" width="8.28515625" style="146" customWidth="1"/>
    <col min="5653" max="5653" width="48.28515625" style="146" customWidth="1"/>
    <col min="5654" max="5654" width="13.28515625" style="146" customWidth="1"/>
    <col min="5655" max="5655" width="10.28515625" style="146" customWidth="1"/>
    <col min="5656" max="5656" width="14.85546875" style="146" customWidth="1"/>
    <col min="5657" max="5657" width="11.5703125" style="146" customWidth="1"/>
    <col min="5658" max="5658" width="8.85546875" style="146"/>
    <col min="5659" max="5659" width="9.28515625" style="146" customWidth="1"/>
    <col min="5660" max="5660" width="59.7109375" style="146" customWidth="1"/>
    <col min="5661" max="5661" width="14.140625" style="146" customWidth="1"/>
    <col min="5662" max="5662" width="12.85546875" style="146" customWidth="1"/>
    <col min="5663" max="5663" width="17.28515625" style="146" customWidth="1"/>
    <col min="5664" max="5665" width="8.85546875" style="146"/>
    <col min="5666" max="5666" width="9.28515625" style="146" customWidth="1"/>
    <col min="5667" max="5667" width="59.7109375" style="146" customWidth="1"/>
    <col min="5668" max="5668" width="14.140625" style="146" customWidth="1"/>
    <col min="5669" max="5669" width="12.85546875" style="146" customWidth="1"/>
    <col min="5670" max="5670" width="17.28515625" style="146" customWidth="1"/>
    <col min="5671" max="5671" width="8.85546875" style="146"/>
    <col min="5672" max="5672" width="10.85546875" style="146" customWidth="1"/>
    <col min="5673" max="5673" width="8.85546875" style="146"/>
    <col min="5674" max="5674" width="15.42578125" style="146" customWidth="1"/>
    <col min="5675" max="5675" width="11.5703125" style="146" customWidth="1"/>
    <col min="5676" max="5677" width="8.85546875" style="146"/>
    <col min="5678" max="5678" width="9.28515625" style="146" customWidth="1"/>
    <col min="5679" max="5679" width="59.7109375" style="146" customWidth="1"/>
    <col min="5680" max="5680" width="14.140625" style="146" customWidth="1"/>
    <col min="5681" max="5681" width="12.85546875" style="146" customWidth="1"/>
    <col min="5682" max="5682" width="17.28515625" style="146" customWidth="1"/>
    <col min="5683" max="5683" width="8.85546875" style="146"/>
    <col min="5684" max="5684" width="10.85546875" style="146" customWidth="1"/>
    <col min="5685" max="5685" width="8.85546875" style="146"/>
    <col min="5686" max="5686" width="15.42578125" style="146" customWidth="1"/>
    <col min="5687" max="5687" width="11.5703125" style="146" customWidth="1"/>
    <col min="5688" max="5689" width="8.85546875" style="146"/>
    <col min="5690" max="5690" width="9.28515625" style="146" customWidth="1"/>
    <col min="5691" max="5691" width="59.7109375" style="146" customWidth="1"/>
    <col min="5692" max="5692" width="14.140625" style="146" customWidth="1"/>
    <col min="5693" max="5693" width="12.85546875" style="146" customWidth="1"/>
    <col min="5694" max="5694" width="17.28515625" style="146" customWidth="1"/>
    <col min="5695" max="5695" width="8.85546875" style="146"/>
    <col min="5696" max="5696" width="10.85546875" style="146" customWidth="1"/>
    <col min="5697" max="5697" width="8.85546875" style="146"/>
    <col min="5698" max="5698" width="15.42578125" style="146" customWidth="1"/>
    <col min="5699" max="5699" width="11.5703125" style="146" customWidth="1"/>
    <col min="5700" max="5704" width="8.85546875" style="146"/>
    <col min="5705" max="5705" width="68.5703125" style="146" customWidth="1"/>
    <col min="5706" max="5706" width="14" style="146" bestFit="1" customWidth="1"/>
    <col min="5707" max="5707" width="10.28515625" style="146" bestFit="1" customWidth="1"/>
    <col min="5708" max="5708" width="7.7109375" style="146" bestFit="1" customWidth="1"/>
    <col min="5709" max="5709" width="8.85546875" style="146"/>
    <col min="5710" max="5710" width="11" style="146" bestFit="1" customWidth="1"/>
    <col min="5711" max="5713" width="8.85546875" style="146"/>
    <col min="5714" max="5714" width="11.85546875" style="146" bestFit="1" customWidth="1"/>
    <col min="5715" max="5888" width="8.85546875" style="146"/>
    <col min="5889" max="5889" width="8.42578125" style="146" customWidth="1"/>
    <col min="5890" max="5890" width="45.5703125" style="146" customWidth="1"/>
    <col min="5891" max="5891" width="13.28515625" style="146" customWidth="1"/>
    <col min="5892" max="5892" width="10.5703125" style="146" customWidth="1"/>
    <col min="5893" max="5893" width="7.7109375" style="146" customWidth="1"/>
    <col min="5894" max="5894" width="8.42578125" style="146" customWidth="1"/>
    <col min="5895" max="5895" width="12.5703125" style="146" customWidth="1"/>
    <col min="5896" max="5896" width="7.85546875" style="146" customWidth="1"/>
    <col min="5897" max="5897" width="45" style="146" customWidth="1"/>
    <col min="5898" max="5898" width="13.28515625" style="146" customWidth="1"/>
    <col min="5899" max="5899" width="11" style="146" customWidth="1"/>
    <col min="5900" max="5900" width="7.5703125" style="146" customWidth="1"/>
    <col min="5901" max="5901" width="8.85546875" style="146"/>
    <col min="5902" max="5902" width="8" style="146" customWidth="1"/>
    <col min="5903" max="5903" width="43.42578125" style="146" customWidth="1"/>
    <col min="5904" max="5904" width="13.7109375" style="146" customWidth="1"/>
    <col min="5905" max="5905" width="10.85546875" style="146" customWidth="1"/>
    <col min="5906" max="5906" width="7.5703125" style="146" customWidth="1"/>
    <col min="5907" max="5907" width="8.85546875" style="146"/>
    <col min="5908" max="5908" width="8.28515625" style="146" customWidth="1"/>
    <col min="5909" max="5909" width="48.28515625" style="146" customWidth="1"/>
    <col min="5910" max="5910" width="13.28515625" style="146" customWidth="1"/>
    <col min="5911" max="5911" width="10.28515625" style="146" customWidth="1"/>
    <col min="5912" max="5912" width="14.85546875" style="146" customWidth="1"/>
    <col min="5913" max="5913" width="11.5703125" style="146" customWidth="1"/>
    <col min="5914" max="5914" width="8.85546875" style="146"/>
    <col min="5915" max="5915" width="9.28515625" style="146" customWidth="1"/>
    <col min="5916" max="5916" width="59.7109375" style="146" customWidth="1"/>
    <col min="5917" max="5917" width="14.140625" style="146" customWidth="1"/>
    <col min="5918" max="5918" width="12.85546875" style="146" customWidth="1"/>
    <col min="5919" max="5919" width="17.28515625" style="146" customWidth="1"/>
    <col min="5920" max="5921" width="8.85546875" style="146"/>
    <col min="5922" max="5922" width="9.28515625" style="146" customWidth="1"/>
    <col min="5923" max="5923" width="59.7109375" style="146" customWidth="1"/>
    <col min="5924" max="5924" width="14.140625" style="146" customWidth="1"/>
    <col min="5925" max="5925" width="12.85546875" style="146" customWidth="1"/>
    <col min="5926" max="5926" width="17.28515625" style="146" customWidth="1"/>
    <col min="5927" max="5927" width="8.85546875" style="146"/>
    <col min="5928" max="5928" width="10.85546875" style="146" customWidth="1"/>
    <col min="5929" max="5929" width="8.85546875" style="146"/>
    <col min="5930" max="5930" width="15.42578125" style="146" customWidth="1"/>
    <col min="5931" max="5931" width="11.5703125" style="146" customWidth="1"/>
    <col min="5932" max="5933" width="8.85546875" style="146"/>
    <col min="5934" max="5934" width="9.28515625" style="146" customWidth="1"/>
    <col min="5935" max="5935" width="59.7109375" style="146" customWidth="1"/>
    <col min="5936" max="5936" width="14.140625" style="146" customWidth="1"/>
    <col min="5937" max="5937" width="12.85546875" style="146" customWidth="1"/>
    <col min="5938" max="5938" width="17.28515625" style="146" customWidth="1"/>
    <col min="5939" max="5939" width="8.85546875" style="146"/>
    <col min="5940" max="5940" width="10.85546875" style="146" customWidth="1"/>
    <col min="5941" max="5941" width="8.85546875" style="146"/>
    <col min="5942" max="5942" width="15.42578125" style="146" customWidth="1"/>
    <col min="5943" max="5943" width="11.5703125" style="146" customWidth="1"/>
    <col min="5944" max="5945" width="8.85546875" style="146"/>
    <col min="5946" max="5946" width="9.28515625" style="146" customWidth="1"/>
    <col min="5947" max="5947" width="59.7109375" style="146" customWidth="1"/>
    <col min="5948" max="5948" width="14.140625" style="146" customWidth="1"/>
    <col min="5949" max="5949" width="12.85546875" style="146" customWidth="1"/>
    <col min="5950" max="5950" width="17.28515625" style="146" customWidth="1"/>
    <col min="5951" max="5951" width="8.85546875" style="146"/>
    <col min="5952" max="5952" width="10.85546875" style="146" customWidth="1"/>
    <col min="5953" max="5953" width="8.85546875" style="146"/>
    <col min="5954" max="5954" width="15.42578125" style="146" customWidth="1"/>
    <col min="5955" max="5955" width="11.5703125" style="146" customWidth="1"/>
    <col min="5956" max="5960" width="8.85546875" style="146"/>
    <col min="5961" max="5961" width="68.5703125" style="146" customWidth="1"/>
    <col min="5962" max="5962" width="14" style="146" bestFit="1" customWidth="1"/>
    <col min="5963" max="5963" width="10.28515625" style="146" bestFit="1" customWidth="1"/>
    <col min="5964" max="5964" width="7.7109375" style="146" bestFit="1" customWidth="1"/>
    <col min="5965" max="5965" width="8.85546875" style="146"/>
    <col min="5966" max="5966" width="11" style="146" bestFit="1" customWidth="1"/>
    <col min="5967" max="5969" width="8.85546875" style="146"/>
    <col min="5970" max="5970" width="11.85546875" style="146" bestFit="1" customWidth="1"/>
    <col min="5971" max="6144" width="8.85546875" style="146"/>
    <col min="6145" max="6145" width="8.42578125" style="146" customWidth="1"/>
    <col min="6146" max="6146" width="45.5703125" style="146" customWidth="1"/>
    <col min="6147" max="6147" width="13.28515625" style="146" customWidth="1"/>
    <col min="6148" max="6148" width="10.5703125" style="146" customWidth="1"/>
    <col min="6149" max="6149" width="7.7109375" style="146" customWidth="1"/>
    <col min="6150" max="6150" width="8.42578125" style="146" customWidth="1"/>
    <col min="6151" max="6151" width="12.5703125" style="146" customWidth="1"/>
    <col min="6152" max="6152" width="7.85546875" style="146" customWidth="1"/>
    <col min="6153" max="6153" width="45" style="146" customWidth="1"/>
    <col min="6154" max="6154" width="13.28515625" style="146" customWidth="1"/>
    <col min="6155" max="6155" width="11" style="146" customWidth="1"/>
    <col min="6156" max="6156" width="7.5703125" style="146" customWidth="1"/>
    <col min="6157" max="6157" width="8.85546875" style="146"/>
    <col min="6158" max="6158" width="8" style="146" customWidth="1"/>
    <col min="6159" max="6159" width="43.42578125" style="146" customWidth="1"/>
    <col min="6160" max="6160" width="13.7109375" style="146" customWidth="1"/>
    <col min="6161" max="6161" width="10.85546875" style="146" customWidth="1"/>
    <col min="6162" max="6162" width="7.5703125" style="146" customWidth="1"/>
    <col min="6163" max="6163" width="8.85546875" style="146"/>
    <col min="6164" max="6164" width="8.28515625" style="146" customWidth="1"/>
    <col min="6165" max="6165" width="48.28515625" style="146" customWidth="1"/>
    <col min="6166" max="6166" width="13.28515625" style="146" customWidth="1"/>
    <col min="6167" max="6167" width="10.28515625" style="146" customWidth="1"/>
    <col min="6168" max="6168" width="14.85546875" style="146" customWidth="1"/>
    <col min="6169" max="6169" width="11.5703125" style="146" customWidth="1"/>
    <col min="6170" max="6170" width="8.85546875" style="146"/>
    <col min="6171" max="6171" width="9.28515625" style="146" customWidth="1"/>
    <col min="6172" max="6172" width="59.7109375" style="146" customWidth="1"/>
    <col min="6173" max="6173" width="14.140625" style="146" customWidth="1"/>
    <col min="6174" max="6174" width="12.85546875" style="146" customWidth="1"/>
    <col min="6175" max="6175" width="17.28515625" style="146" customWidth="1"/>
    <col min="6176" max="6177" width="8.85546875" style="146"/>
    <col min="6178" max="6178" width="9.28515625" style="146" customWidth="1"/>
    <col min="6179" max="6179" width="59.7109375" style="146" customWidth="1"/>
    <col min="6180" max="6180" width="14.140625" style="146" customWidth="1"/>
    <col min="6181" max="6181" width="12.85546875" style="146" customWidth="1"/>
    <col min="6182" max="6182" width="17.28515625" style="146" customWidth="1"/>
    <col min="6183" max="6183" width="8.85546875" style="146"/>
    <col min="6184" max="6184" width="10.85546875" style="146" customWidth="1"/>
    <col min="6185" max="6185" width="8.85546875" style="146"/>
    <col min="6186" max="6186" width="15.42578125" style="146" customWidth="1"/>
    <col min="6187" max="6187" width="11.5703125" style="146" customWidth="1"/>
    <col min="6188" max="6189" width="8.85546875" style="146"/>
    <col min="6190" max="6190" width="9.28515625" style="146" customWidth="1"/>
    <col min="6191" max="6191" width="59.7109375" style="146" customWidth="1"/>
    <col min="6192" max="6192" width="14.140625" style="146" customWidth="1"/>
    <col min="6193" max="6193" width="12.85546875" style="146" customWidth="1"/>
    <col min="6194" max="6194" width="17.28515625" style="146" customWidth="1"/>
    <col min="6195" max="6195" width="8.85546875" style="146"/>
    <col min="6196" max="6196" width="10.85546875" style="146" customWidth="1"/>
    <col min="6197" max="6197" width="8.85546875" style="146"/>
    <col min="6198" max="6198" width="15.42578125" style="146" customWidth="1"/>
    <col min="6199" max="6199" width="11.5703125" style="146" customWidth="1"/>
    <col min="6200" max="6201" width="8.85546875" style="146"/>
    <col min="6202" max="6202" width="9.28515625" style="146" customWidth="1"/>
    <col min="6203" max="6203" width="59.7109375" style="146" customWidth="1"/>
    <col min="6204" max="6204" width="14.140625" style="146" customWidth="1"/>
    <col min="6205" max="6205" width="12.85546875" style="146" customWidth="1"/>
    <col min="6206" max="6206" width="17.28515625" style="146" customWidth="1"/>
    <col min="6207" max="6207" width="8.85546875" style="146"/>
    <col min="6208" max="6208" width="10.85546875" style="146" customWidth="1"/>
    <col min="6209" max="6209" width="8.85546875" style="146"/>
    <col min="6210" max="6210" width="15.42578125" style="146" customWidth="1"/>
    <col min="6211" max="6211" width="11.5703125" style="146" customWidth="1"/>
    <col min="6212" max="6216" width="8.85546875" style="146"/>
    <col min="6217" max="6217" width="68.5703125" style="146" customWidth="1"/>
    <col min="6218" max="6218" width="14" style="146" bestFit="1" customWidth="1"/>
    <col min="6219" max="6219" width="10.28515625" style="146" bestFit="1" customWidth="1"/>
    <col min="6220" max="6220" width="7.7109375" style="146" bestFit="1" customWidth="1"/>
    <col min="6221" max="6221" width="8.85546875" style="146"/>
    <col min="6222" max="6222" width="11" style="146" bestFit="1" customWidth="1"/>
    <col min="6223" max="6225" width="8.85546875" style="146"/>
    <col min="6226" max="6226" width="11.85546875" style="146" bestFit="1" customWidth="1"/>
    <col min="6227" max="6400" width="8.85546875" style="146"/>
    <col min="6401" max="6401" width="8.42578125" style="146" customWidth="1"/>
    <col min="6402" max="6402" width="45.5703125" style="146" customWidth="1"/>
    <col min="6403" max="6403" width="13.28515625" style="146" customWidth="1"/>
    <col min="6404" max="6404" width="10.5703125" style="146" customWidth="1"/>
    <col min="6405" max="6405" width="7.7109375" style="146" customWidth="1"/>
    <col min="6406" max="6406" width="8.42578125" style="146" customWidth="1"/>
    <col min="6407" max="6407" width="12.5703125" style="146" customWidth="1"/>
    <col min="6408" max="6408" width="7.85546875" style="146" customWidth="1"/>
    <col min="6409" max="6409" width="45" style="146" customWidth="1"/>
    <col min="6410" max="6410" width="13.28515625" style="146" customWidth="1"/>
    <col min="6411" max="6411" width="11" style="146" customWidth="1"/>
    <col min="6412" max="6412" width="7.5703125" style="146" customWidth="1"/>
    <col min="6413" max="6413" width="8.85546875" style="146"/>
    <col min="6414" max="6414" width="8" style="146" customWidth="1"/>
    <col min="6415" max="6415" width="43.42578125" style="146" customWidth="1"/>
    <col min="6416" max="6416" width="13.7109375" style="146" customWidth="1"/>
    <col min="6417" max="6417" width="10.85546875" style="146" customWidth="1"/>
    <col min="6418" max="6418" width="7.5703125" style="146" customWidth="1"/>
    <col min="6419" max="6419" width="8.85546875" style="146"/>
    <col min="6420" max="6420" width="8.28515625" style="146" customWidth="1"/>
    <col min="6421" max="6421" width="48.28515625" style="146" customWidth="1"/>
    <col min="6422" max="6422" width="13.28515625" style="146" customWidth="1"/>
    <col min="6423" max="6423" width="10.28515625" style="146" customWidth="1"/>
    <col min="6424" max="6424" width="14.85546875" style="146" customWidth="1"/>
    <col min="6425" max="6425" width="11.5703125" style="146" customWidth="1"/>
    <col min="6426" max="6426" width="8.85546875" style="146"/>
    <col min="6427" max="6427" width="9.28515625" style="146" customWidth="1"/>
    <col min="6428" max="6428" width="59.7109375" style="146" customWidth="1"/>
    <col min="6429" max="6429" width="14.140625" style="146" customWidth="1"/>
    <col min="6430" max="6430" width="12.85546875" style="146" customWidth="1"/>
    <col min="6431" max="6431" width="17.28515625" style="146" customWidth="1"/>
    <col min="6432" max="6433" width="8.85546875" style="146"/>
    <col min="6434" max="6434" width="9.28515625" style="146" customWidth="1"/>
    <col min="6435" max="6435" width="59.7109375" style="146" customWidth="1"/>
    <col min="6436" max="6436" width="14.140625" style="146" customWidth="1"/>
    <col min="6437" max="6437" width="12.85546875" style="146" customWidth="1"/>
    <col min="6438" max="6438" width="17.28515625" style="146" customWidth="1"/>
    <col min="6439" max="6439" width="8.85546875" style="146"/>
    <col min="6440" max="6440" width="10.85546875" style="146" customWidth="1"/>
    <col min="6441" max="6441" width="8.85546875" style="146"/>
    <col min="6442" max="6442" width="15.42578125" style="146" customWidth="1"/>
    <col min="6443" max="6443" width="11.5703125" style="146" customWidth="1"/>
    <col min="6444" max="6445" width="8.85546875" style="146"/>
    <col min="6446" max="6446" width="9.28515625" style="146" customWidth="1"/>
    <col min="6447" max="6447" width="59.7109375" style="146" customWidth="1"/>
    <col min="6448" max="6448" width="14.140625" style="146" customWidth="1"/>
    <col min="6449" max="6449" width="12.85546875" style="146" customWidth="1"/>
    <col min="6450" max="6450" width="17.28515625" style="146" customWidth="1"/>
    <col min="6451" max="6451" width="8.85546875" style="146"/>
    <col min="6452" max="6452" width="10.85546875" style="146" customWidth="1"/>
    <col min="6453" max="6453" width="8.85546875" style="146"/>
    <col min="6454" max="6454" width="15.42578125" style="146" customWidth="1"/>
    <col min="6455" max="6455" width="11.5703125" style="146" customWidth="1"/>
    <col min="6456" max="6457" width="8.85546875" style="146"/>
    <col min="6458" max="6458" width="9.28515625" style="146" customWidth="1"/>
    <col min="6459" max="6459" width="59.7109375" style="146" customWidth="1"/>
    <col min="6460" max="6460" width="14.140625" style="146" customWidth="1"/>
    <col min="6461" max="6461" width="12.85546875" style="146" customWidth="1"/>
    <col min="6462" max="6462" width="17.28515625" style="146" customWidth="1"/>
    <col min="6463" max="6463" width="8.85546875" style="146"/>
    <col min="6464" max="6464" width="10.85546875" style="146" customWidth="1"/>
    <col min="6465" max="6465" width="8.85546875" style="146"/>
    <col min="6466" max="6466" width="15.42578125" style="146" customWidth="1"/>
    <col min="6467" max="6467" width="11.5703125" style="146" customWidth="1"/>
    <col min="6468" max="6472" width="8.85546875" style="146"/>
    <col min="6473" max="6473" width="68.5703125" style="146" customWidth="1"/>
    <col min="6474" max="6474" width="14" style="146" bestFit="1" customWidth="1"/>
    <col min="6475" max="6475" width="10.28515625" style="146" bestFit="1" customWidth="1"/>
    <col min="6476" max="6476" width="7.7109375" style="146" bestFit="1" customWidth="1"/>
    <col min="6477" max="6477" width="8.85546875" style="146"/>
    <col min="6478" max="6478" width="11" style="146" bestFit="1" customWidth="1"/>
    <col min="6479" max="6481" width="8.85546875" style="146"/>
    <col min="6482" max="6482" width="11.85546875" style="146" bestFit="1" customWidth="1"/>
    <col min="6483" max="6656" width="8.85546875" style="146"/>
    <col min="6657" max="6657" width="8.42578125" style="146" customWidth="1"/>
    <col min="6658" max="6658" width="45.5703125" style="146" customWidth="1"/>
    <col min="6659" max="6659" width="13.28515625" style="146" customWidth="1"/>
    <col min="6660" max="6660" width="10.5703125" style="146" customWidth="1"/>
    <col min="6661" max="6661" width="7.7109375" style="146" customWidth="1"/>
    <col min="6662" max="6662" width="8.42578125" style="146" customWidth="1"/>
    <col min="6663" max="6663" width="12.5703125" style="146" customWidth="1"/>
    <col min="6664" max="6664" width="7.85546875" style="146" customWidth="1"/>
    <col min="6665" max="6665" width="45" style="146" customWidth="1"/>
    <col min="6666" max="6666" width="13.28515625" style="146" customWidth="1"/>
    <col min="6667" max="6667" width="11" style="146" customWidth="1"/>
    <col min="6668" max="6668" width="7.5703125" style="146" customWidth="1"/>
    <col min="6669" max="6669" width="8.85546875" style="146"/>
    <col min="6670" max="6670" width="8" style="146" customWidth="1"/>
    <col min="6671" max="6671" width="43.42578125" style="146" customWidth="1"/>
    <col min="6672" max="6672" width="13.7109375" style="146" customWidth="1"/>
    <col min="6673" max="6673" width="10.85546875" style="146" customWidth="1"/>
    <col min="6674" max="6674" width="7.5703125" style="146" customWidth="1"/>
    <col min="6675" max="6675" width="8.85546875" style="146"/>
    <col min="6676" max="6676" width="8.28515625" style="146" customWidth="1"/>
    <col min="6677" max="6677" width="48.28515625" style="146" customWidth="1"/>
    <col min="6678" max="6678" width="13.28515625" style="146" customWidth="1"/>
    <col min="6679" max="6679" width="10.28515625" style="146" customWidth="1"/>
    <col min="6680" max="6680" width="14.85546875" style="146" customWidth="1"/>
    <col min="6681" max="6681" width="11.5703125" style="146" customWidth="1"/>
    <col min="6682" max="6682" width="8.85546875" style="146"/>
    <col min="6683" max="6683" width="9.28515625" style="146" customWidth="1"/>
    <col min="6684" max="6684" width="59.7109375" style="146" customWidth="1"/>
    <col min="6685" max="6685" width="14.140625" style="146" customWidth="1"/>
    <col min="6686" max="6686" width="12.85546875" style="146" customWidth="1"/>
    <col min="6687" max="6687" width="17.28515625" style="146" customWidth="1"/>
    <col min="6688" max="6689" width="8.85546875" style="146"/>
    <col min="6690" max="6690" width="9.28515625" style="146" customWidth="1"/>
    <col min="6691" max="6691" width="59.7109375" style="146" customWidth="1"/>
    <col min="6692" max="6692" width="14.140625" style="146" customWidth="1"/>
    <col min="6693" max="6693" width="12.85546875" style="146" customWidth="1"/>
    <col min="6694" max="6694" width="17.28515625" style="146" customWidth="1"/>
    <col min="6695" max="6695" width="8.85546875" style="146"/>
    <col min="6696" max="6696" width="10.85546875" style="146" customWidth="1"/>
    <col min="6697" max="6697" width="8.85546875" style="146"/>
    <col min="6698" max="6698" width="15.42578125" style="146" customWidth="1"/>
    <col min="6699" max="6699" width="11.5703125" style="146" customWidth="1"/>
    <col min="6700" max="6701" width="8.85546875" style="146"/>
    <col min="6702" max="6702" width="9.28515625" style="146" customWidth="1"/>
    <col min="6703" max="6703" width="59.7109375" style="146" customWidth="1"/>
    <col min="6704" max="6704" width="14.140625" style="146" customWidth="1"/>
    <col min="6705" max="6705" width="12.85546875" style="146" customWidth="1"/>
    <col min="6706" max="6706" width="17.28515625" style="146" customWidth="1"/>
    <col min="6707" max="6707" width="8.85546875" style="146"/>
    <col min="6708" max="6708" width="10.85546875" style="146" customWidth="1"/>
    <col min="6709" max="6709" width="8.85546875" style="146"/>
    <col min="6710" max="6710" width="15.42578125" style="146" customWidth="1"/>
    <col min="6711" max="6711" width="11.5703125" style="146" customWidth="1"/>
    <col min="6712" max="6713" width="8.85546875" style="146"/>
    <col min="6714" max="6714" width="9.28515625" style="146" customWidth="1"/>
    <col min="6715" max="6715" width="59.7109375" style="146" customWidth="1"/>
    <col min="6716" max="6716" width="14.140625" style="146" customWidth="1"/>
    <col min="6717" max="6717" width="12.85546875" style="146" customWidth="1"/>
    <col min="6718" max="6718" width="17.28515625" style="146" customWidth="1"/>
    <col min="6719" max="6719" width="8.85546875" style="146"/>
    <col min="6720" max="6720" width="10.85546875" style="146" customWidth="1"/>
    <col min="6721" max="6721" width="8.85546875" style="146"/>
    <col min="6722" max="6722" width="15.42578125" style="146" customWidth="1"/>
    <col min="6723" max="6723" width="11.5703125" style="146" customWidth="1"/>
    <col min="6724" max="6728" width="8.85546875" style="146"/>
    <col min="6729" max="6729" width="68.5703125" style="146" customWidth="1"/>
    <col min="6730" max="6730" width="14" style="146" bestFit="1" customWidth="1"/>
    <col min="6731" max="6731" width="10.28515625" style="146" bestFit="1" customWidth="1"/>
    <col min="6732" max="6732" width="7.7109375" style="146" bestFit="1" customWidth="1"/>
    <col min="6733" max="6733" width="8.85546875" style="146"/>
    <col min="6734" max="6734" width="11" style="146" bestFit="1" customWidth="1"/>
    <col min="6735" max="6737" width="8.85546875" style="146"/>
    <col min="6738" max="6738" width="11.85546875" style="146" bestFit="1" customWidth="1"/>
    <col min="6739" max="6912" width="8.85546875" style="146"/>
    <col min="6913" max="6913" width="8.42578125" style="146" customWidth="1"/>
    <col min="6914" max="6914" width="45.5703125" style="146" customWidth="1"/>
    <col min="6915" max="6915" width="13.28515625" style="146" customWidth="1"/>
    <col min="6916" max="6916" width="10.5703125" style="146" customWidth="1"/>
    <col min="6917" max="6917" width="7.7109375" style="146" customWidth="1"/>
    <col min="6918" max="6918" width="8.42578125" style="146" customWidth="1"/>
    <col min="6919" max="6919" width="12.5703125" style="146" customWidth="1"/>
    <col min="6920" max="6920" width="7.85546875" style="146" customWidth="1"/>
    <col min="6921" max="6921" width="45" style="146" customWidth="1"/>
    <col min="6922" max="6922" width="13.28515625" style="146" customWidth="1"/>
    <col min="6923" max="6923" width="11" style="146" customWidth="1"/>
    <col min="6924" max="6924" width="7.5703125" style="146" customWidth="1"/>
    <col min="6925" max="6925" width="8.85546875" style="146"/>
    <col min="6926" max="6926" width="8" style="146" customWidth="1"/>
    <col min="6927" max="6927" width="43.42578125" style="146" customWidth="1"/>
    <col min="6928" max="6928" width="13.7109375" style="146" customWidth="1"/>
    <col min="6929" max="6929" width="10.85546875" style="146" customWidth="1"/>
    <col min="6930" max="6930" width="7.5703125" style="146" customWidth="1"/>
    <col min="6931" max="6931" width="8.85546875" style="146"/>
    <col min="6932" max="6932" width="8.28515625" style="146" customWidth="1"/>
    <col min="6933" max="6933" width="48.28515625" style="146" customWidth="1"/>
    <col min="6934" max="6934" width="13.28515625" style="146" customWidth="1"/>
    <col min="6935" max="6935" width="10.28515625" style="146" customWidth="1"/>
    <col min="6936" max="6936" width="14.85546875" style="146" customWidth="1"/>
    <col min="6937" max="6937" width="11.5703125" style="146" customWidth="1"/>
    <col min="6938" max="6938" width="8.85546875" style="146"/>
    <col min="6939" max="6939" width="9.28515625" style="146" customWidth="1"/>
    <col min="6940" max="6940" width="59.7109375" style="146" customWidth="1"/>
    <col min="6941" max="6941" width="14.140625" style="146" customWidth="1"/>
    <col min="6942" max="6942" width="12.85546875" style="146" customWidth="1"/>
    <col min="6943" max="6943" width="17.28515625" style="146" customWidth="1"/>
    <col min="6944" max="6945" width="8.85546875" style="146"/>
    <col min="6946" max="6946" width="9.28515625" style="146" customWidth="1"/>
    <col min="6947" max="6947" width="59.7109375" style="146" customWidth="1"/>
    <col min="6948" max="6948" width="14.140625" style="146" customWidth="1"/>
    <col min="6949" max="6949" width="12.85546875" style="146" customWidth="1"/>
    <col min="6950" max="6950" width="17.28515625" style="146" customWidth="1"/>
    <col min="6951" max="6951" width="8.85546875" style="146"/>
    <col min="6952" max="6952" width="10.85546875" style="146" customWidth="1"/>
    <col min="6953" max="6953" width="8.85546875" style="146"/>
    <col min="6954" max="6954" width="15.42578125" style="146" customWidth="1"/>
    <col min="6955" max="6955" width="11.5703125" style="146" customWidth="1"/>
    <col min="6956" max="6957" width="8.85546875" style="146"/>
    <col min="6958" max="6958" width="9.28515625" style="146" customWidth="1"/>
    <col min="6959" max="6959" width="59.7109375" style="146" customWidth="1"/>
    <col min="6960" max="6960" width="14.140625" style="146" customWidth="1"/>
    <col min="6961" max="6961" width="12.85546875" style="146" customWidth="1"/>
    <col min="6962" max="6962" width="17.28515625" style="146" customWidth="1"/>
    <col min="6963" max="6963" width="8.85546875" style="146"/>
    <col min="6964" max="6964" width="10.85546875" style="146" customWidth="1"/>
    <col min="6965" max="6965" width="8.85546875" style="146"/>
    <col min="6966" max="6966" width="15.42578125" style="146" customWidth="1"/>
    <col min="6967" max="6967" width="11.5703125" style="146" customWidth="1"/>
    <col min="6968" max="6969" width="8.85546875" style="146"/>
    <col min="6970" max="6970" width="9.28515625" style="146" customWidth="1"/>
    <col min="6971" max="6971" width="59.7109375" style="146" customWidth="1"/>
    <col min="6972" max="6972" width="14.140625" style="146" customWidth="1"/>
    <col min="6973" max="6973" width="12.85546875" style="146" customWidth="1"/>
    <col min="6974" max="6974" width="17.28515625" style="146" customWidth="1"/>
    <col min="6975" max="6975" width="8.85546875" style="146"/>
    <col min="6976" max="6976" width="10.85546875" style="146" customWidth="1"/>
    <col min="6977" max="6977" width="8.85546875" style="146"/>
    <col min="6978" max="6978" width="15.42578125" style="146" customWidth="1"/>
    <col min="6979" max="6979" width="11.5703125" style="146" customWidth="1"/>
    <col min="6980" max="6984" width="8.85546875" style="146"/>
    <col min="6985" max="6985" width="68.5703125" style="146" customWidth="1"/>
    <col min="6986" max="6986" width="14" style="146" bestFit="1" customWidth="1"/>
    <col min="6987" max="6987" width="10.28515625" style="146" bestFit="1" customWidth="1"/>
    <col min="6988" max="6988" width="7.7109375" style="146" bestFit="1" customWidth="1"/>
    <col min="6989" max="6989" width="8.85546875" style="146"/>
    <col min="6990" max="6990" width="11" style="146" bestFit="1" customWidth="1"/>
    <col min="6991" max="6993" width="8.85546875" style="146"/>
    <col min="6994" max="6994" width="11.85546875" style="146" bestFit="1" customWidth="1"/>
    <col min="6995" max="7168" width="8.85546875" style="146"/>
    <col min="7169" max="7169" width="8.42578125" style="146" customWidth="1"/>
    <col min="7170" max="7170" width="45.5703125" style="146" customWidth="1"/>
    <col min="7171" max="7171" width="13.28515625" style="146" customWidth="1"/>
    <col min="7172" max="7172" width="10.5703125" style="146" customWidth="1"/>
    <col min="7173" max="7173" width="7.7109375" style="146" customWidth="1"/>
    <col min="7174" max="7174" width="8.42578125" style="146" customWidth="1"/>
    <col min="7175" max="7175" width="12.5703125" style="146" customWidth="1"/>
    <col min="7176" max="7176" width="7.85546875" style="146" customWidth="1"/>
    <col min="7177" max="7177" width="45" style="146" customWidth="1"/>
    <col min="7178" max="7178" width="13.28515625" style="146" customWidth="1"/>
    <col min="7179" max="7179" width="11" style="146" customWidth="1"/>
    <col min="7180" max="7180" width="7.5703125" style="146" customWidth="1"/>
    <col min="7181" max="7181" width="8.85546875" style="146"/>
    <col min="7182" max="7182" width="8" style="146" customWidth="1"/>
    <col min="7183" max="7183" width="43.42578125" style="146" customWidth="1"/>
    <col min="7184" max="7184" width="13.7109375" style="146" customWidth="1"/>
    <col min="7185" max="7185" width="10.85546875" style="146" customWidth="1"/>
    <col min="7186" max="7186" width="7.5703125" style="146" customWidth="1"/>
    <col min="7187" max="7187" width="8.85546875" style="146"/>
    <col min="7188" max="7188" width="8.28515625" style="146" customWidth="1"/>
    <col min="7189" max="7189" width="48.28515625" style="146" customWidth="1"/>
    <col min="7190" max="7190" width="13.28515625" style="146" customWidth="1"/>
    <col min="7191" max="7191" width="10.28515625" style="146" customWidth="1"/>
    <col min="7192" max="7192" width="14.85546875" style="146" customWidth="1"/>
    <col min="7193" max="7193" width="11.5703125" style="146" customWidth="1"/>
    <col min="7194" max="7194" width="8.85546875" style="146"/>
    <col min="7195" max="7195" width="9.28515625" style="146" customWidth="1"/>
    <col min="7196" max="7196" width="59.7109375" style="146" customWidth="1"/>
    <col min="7197" max="7197" width="14.140625" style="146" customWidth="1"/>
    <col min="7198" max="7198" width="12.85546875" style="146" customWidth="1"/>
    <col min="7199" max="7199" width="17.28515625" style="146" customWidth="1"/>
    <col min="7200" max="7201" width="8.85546875" style="146"/>
    <col min="7202" max="7202" width="9.28515625" style="146" customWidth="1"/>
    <col min="7203" max="7203" width="59.7109375" style="146" customWidth="1"/>
    <col min="7204" max="7204" width="14.140625" style="146" customWidth="1"/>
    <col min="7205" max="7205" width="12.85546875" style="146" customWidth="1"/>
    <col min="7206" max="7206" width="17.28515625" style="146" customWidth="1"/>
    <col min="7207" max="7207" width="8.85546875" style="146"/>
    <col min="7208" max="7208" width="10.85546875" style="146" customWidth="1"/>
    <col min="7209" max="7209" width="8.85546875" style="146"/>
    <col min="7210" max="7210" width="15.42578125" style="146" customWidth="1"/>
    <col min="7211" max="7211" width="11.5703125" style="146" customWidth="1"/>
    <col min="7212" max="7213" width="8.85546875" style="146"/>
    <col min="7214" max="7214" width="9.28515625" style="146" customWidth="1"/>
    <col min="7215" max="7215" width="59.7109375" style="146" customWidth="1"/>
    <col min="7216" max="7216" width="14.140625" style="146" customWidth="1"/>
    <col min="7217" max="7217" width="12.85546875" style="146" customWidth="1"/>
    <col min="7218" max="7218" width="17.28515625" style="146" customWidth="1"/>
    <col min="7219" max="7219" width="8.85546875" style="146"/>
    <col min="7220" max="7220" width="10.85546875" style="146" customWidth="1"/>
    <col min="7221" max="7221" width="8.85546875" style="146"/>
    <col min="7222" max="7222" width="15.42578125" style="146" customWidth="1"/>
    <col min="7223" max="7223" width="11.5703125" style="146" customWidth="1"/>
    <col min="7224" max="7225" width="8.85546875" style="146"/>
    <col min="7226" max="7226" width="9.28515625" style="146" customWidth="1"/>
    <col min="7227" max="7227" width="59.7109375" style="146" customWidth="1"/>
    <col min="7228" max="7228" width="14.140625" style="146" customWidth="1"/>
    <col min="7229" max="7229" width="12.85546875" style="146" customWidth="1"/>
    <col min="7230" max="7230" width="17.28515625" style="146" customWidth="1"/>
    <col min="7231" max="7231" width="8.85546875" style="146"/>
    <col min="7232" max="7232" width="10.85546875" style="146" customWidth="1"/>
    <col min="7233" max="7233" width="8.85546875" style="146"/>
    <col min="7234" max="7234" width="15.42578125" style="146" customWidth="1"/>
    <col min="7235" max="7235" width="11.5703125" style="146" customWidth="1"/>
    <col min="7236" max="7240" width="8.85546875" style="146"/>
    <col min="7241" max="7241" width="68.5703125" style="146" customWidth="1"/>
    <col min="7242" max="7242" width="14" style="146" bestFit="1" customWidth="1"/>
    <col min="7243" max="7243" width="10.28515625" style="146" bestFit="1" customWidth="1"/>
    <col min="7244" max="7244" width="7.7109375" style="146" bestFit="1" customWidth="1"/>
    <col min="7245" max="7245" width="8.85546875" style="146"/>
    <col min="7246" max="7246" width="11" style="146" bestFit="1" customWidth="1"/>
    <col min="7247" max="7249" width="8.85546875" style="146"/>
    <col min="7250" max="7250" width="11.85546875" style="146" bestFit="1" customWidth="1"/>
    <col min="7251" max="7424" width="8.85546875" style="146"/>
    <col min="7425" max="7425" width="8.42578125" style="146" customWidth="1"/>
    <col min="7426" max="7426" width="45.5703125" style="146" customWidth="1"/>
    <col min="7427" max="7427" width="13.28515625" style="146" customWidth="1"/>
    <col min="7428" max="7428" width="10.5703125" style="146" customWidth="1"/>
    <col min="7429" max="7429" width="7.7109375" style="146" customWidth="1"/>
    <col min="7430" max="7430" width="8.42578125" style="146" customWidth="1"/>
    <col min="7431" max="7431" width="12.5703125" style="146" customWidth="1"/>
    <col min="7432" max="7432" width="7.85546875" style="146" customWidth="1"/>
    <col min="7433" max="7433" width="45" style="146" customWidth="1"/>
    <col min="7434" max="7434" width="13.28515625" style="146" customWidth="1"/>
    <col min="7435" max="7435" width="11" style="146" customWidth="1"/>
    <col min="7436" max="7436" width="7.5703125" style="146" customWidth="1"/>
    <col min="7437" max="7437" width="8.85546875" style="146"/>
    <col min="7438" max="7438" width="8" style="146" customWidth="1"/>
    <col min="7439" max="7439" width="43.42578125" style="146" customWidth="1"/>
    <col min="7440" max="7440" width="13.7109375" style="146" customWidth="1"/>
    <col min="7441" max="7441" width="10.85546875" style="146" customWidth="1"/>
    <col min="7442" max="7442" width="7.5703125" style="146" customWidth="1"/>
    <col min="7443" max="7443" width="8.85546875" style="146"/>
    <col min="7444" max="7444" width="8.28515625" style="146" customWidth="1"/>
    <col min="7445" max="7445" width="48.28515625" style="146" customWidth="1"/>
    <col min="7446" max="7446" width="13.28515625" style="146" customWidth="1"/>
    <col min="7447" max="7447" width="10.28515625" style="146" customWidth="1"/>
    <col min="7448" max="7448" width="14.85546875" style="146" customWidth="1"/>
    <col min="7449" max="7449" width="11.5703125" style="146" customWidth="1"/>
    <col min="7450" max="7450" width="8.85546875" style="146"/>
    <col min="7451" max="7451" width="9.28515625" style="146" customWidth="1"/>
    <col min="7452" max="7452" width="59.7109375" style="146" customWidth="1"/>
    <col min="7453" max="7453" width="14.140625" style="146" customWidth="1"/>
    <col min="7454" max="7454" width="12.85546875" style="146" customWidth="1"/>
    <col min="7455" max="7455" width="17.28515625" style="146" customWidth="1"/>
    <col min="7456" max="7457" width="8.85546875" style="146"/>
    <col min="7458" max="7458" width="9.28515625" style="146" customWidth="1"/>
    <col min="7459" max="7459" width="59.7109375" style="146" customWidth="1"/>
    <col min="7460" max="7460" width="14.140625" style="146" customWidth="1"/>
    <col min="7461" max="7461" width="12.85546875" style="146" customWidth="1"/>
    <col min="7462" max="7462" width="17.28515625" style="146" customWidth="1"/>
    <col min="7463" max="7463" width="8.85546875" style="146"/>
    <col min="7464" max="7464" width="10.85546875" style="146" customWidth="1"/>
    <col min="7465" max="7465" width="8.85546875" style="146"/>
    <col min="7466" max="7466" width="15.42578125" style="146" customWidth="1"/>
    <col min="7467" max="7467" width="11.5703125" style="146" customWidth="1"/>
    <col min="7468" max="7469" width="8.85546875" style="146"/>
    <col min="7470" max="7470" width="9.28515625" style="146" customWidth="1"/>
    <col min="7471" max="7471" width="59.7109375" style="146" customWidth="1"/>
    <col min="7472" max="7472" width="14.140625" style="146" customWidth="1"/>
    <col min="7473" max="7473" width="12.85546875" style="146" customWidth="1"/>
    <col min="7474" max="7474" width="17.28515625" style="146" customWidth="1"/>
    <col min="7475" max="7475" width="8.85546875" style="146"/>
    <col min="7476" max="7476" width="10.85546875" style="146" customWidth="1"/>
    <col min="7477" max="7477" width="8.85546875" style="146"/>
    <col min="7478" max="7478" width="15.42578125" style="146" customWidth="1"/>
    <col min="7479" max="7479" width="11.5703125" style="146" customWidth="1"/>
    <col min="7480" max="7481" width="8.85546875" style="146"/>
    <col min="7482" max="7482" width="9.28515625" style="146" customWidth="1"/>
    <col min="7483" max="7483" width="59.7109375" style="146" customWidth="1"/>
    <col min="7484" max="7484" width="14.140625" style="146" customWidth="1"/>
    <col min="7485" max="7485" width="12.85546875" style="146" customWidth="1"/>
    <col min="7486" max="7486" width="17.28515625" style="146" customWidth="1"/>
    <col min="7487" max="7487" width="8.85546875" style="146"/>
    <col min="7488" max="7488" width="10.85546875" style="146" customWidth="1"/>
    <col min="7489" max="7489" width="8.85546875" style="146"/>
    <col min="7490" max="7490" width="15.42578125" style="146" customWidth="1"/>
    <col min="7491" max="7491" width="11.5703125" style="146" customWidth="1"/>
    <col min="7492" max="7496" width="8.85546875" style="146"/>
    <col min="7497" max="7497" width="68.5703125" style="146" customWidth="1"/>
    <col min="7498" max="7498" width="14" style="146" bestFit="1" customWidth="1"/>
    <col min="7499" max="7499" width="10.28515625" style="146" bestFit="1" customWidth="1"/>
    <col min="7500" max="7500" width="7.7109375" style="146" bestFit="1" customWidth="1"/>
    <col min="7501" max="7501" width="8.85546875" style="146"/>
    <col min="7502" max="7502" width="11" style="146" bestFit="1" customWidth="1"/>
    <col min="7503" max="7505" width="8.85546875" style="146"/>
    <col min="7506" max="7506" width="11.85546875" style="146" bestFit="1" customWidth="1"/>
    <col min="7507" max="7680" width="8.85546875" style="146"/>
    <col min="7681" max="7681" width="8.42578125" style="146" customWidth="1"/>
    <col min="7682" max="7682" width="45.5703125" style="146" customWidth="1"/>
    <col min="7683" max="7683" width="13.28515625" style="146" customWidth="1"/>
    <col min="7684" max="7684" width="10.5703125" style="146" customWidth="1"/>
    <col min="7685" max="7685" width="7.7109375" style="146" customWidth="1"/>
    <col min="7686" max="7686" width="8.42578125" style="146" customWidth="1"/>
    <col min="7687" max="7687" width="12.5703125" style="146" customWidth="1"/>
    <col min="7688" max="7688" width="7.85546875" style="146" customWidth="1"/>
    <col min="7689" max="7689" width="45" style="146" customWidth="1"/>
    <col min="7690" max="7690" width="13.28515625" style="146" customWidth="1"/>
    <col min="7691" max="7691" width="11" style="146" customWidth="1"/>
    <col min="7692" max="7692" width="7.5703125" style="146" customWidth="1"/>
    <col min="7693" max="7693" width="8.85546875" style="146"/>
    <col min="7694" max="7694" width="8" style="146" customWidth="1"/>
    <col min="7695" max="7695" width="43.42578125" style="146" customWidth="1"/>
    <col min="7696" max="7696" width="13.7109375" style="146" customWidth="1"/>
    <col min="7697" max="7697" width="10.85546875" style="146" customWidth="1"/>
    <col min="7698" max="7698" width="7.5703125" style="146" customWidth="1"/>
    <col min="7699" max="7699" width="8.85546875" style="146"/>
    <col min="7700" max="7700" width="8.28515625" style="146" customWidth="1"/>
    <col min="7701" max="7701" width="48.28515625" style="146" customWidth="1"/>
    <col min="7702" max="7702" width="13.28515625" style="146" customWidth="1"/>
    <col min="7703" max="7703" width="10.28515625" style="146" customWidth="1"/>
    <col min="7704" max="7704" width="14.85546875" style="146" customWidth="1"/>
    <col min="7705" max="7705" width="11.5703125" style="146" customWidth="1"/>
    <col min="7706" max="7706" width="8.85546875" style="146"/>
    <col min="7707" max="7707" width="9.28515625" style="146" customWidth="1"/>
    <col min="7708" max="7708" width="59.7109375" style="146" customWidth="1"/>
    <col min="7709" max="7709" width="14.140625" style="146" customWidth="1"/>
    <col min="7710" max="7710" width="12.85546875" style="146" customWidth="1"/>
    <col min="7711" max="7711" width="17.28515625" style="146" customWidth="1"/>
    <col min="7712" max="7713" width="8.85546875" style="146"/>
    <col min="7714" max="7714" width="9.28515625" style="146" customWidth="1"/>
    <col min="7715" max="7715" width="59.7109375" style="146" customWidth="1"/>
    <col min="7716" max="7716" width="14.140625" style="146" customWidth="1"/>
    <col min="7717" max="7717" width="12.85546875" style="146" customWidth="1"/>
    <col min="7718" max="7718" width="17.28515625" style="146" customWidth="1"/>
    <col min="7719" max="7719" width="8.85546875" style="146"/>
    <col min="7720" max="7720" width="10.85546875" style="146" customWidth="1"/>
    <col min="7721" max="7721" width="8.85546875" style="146"/>
    <col min="7722" max="7722" width="15.42578125" style="146" customWidth="1"/>
    <col min="7723" max="7723" width="11.5703125" style="146" customWidth="1"/>
    <col min="7724" max="7725" width="8.85546875" style="146"/>
    <col min="7726" max="7726" width="9.28515625" style="146" customWidth="1"/>
    <col min="7727" max="7727" width="59.7109375" style="146" customWidth="1"/>
    <col min="7728" max="7728" width="14.140625" style="146" customWidth="1"/>
    <col min="7729" max="7729" width="12.85546875" style="146" customWidth="1"/>
    <col min="7730" max="7730" width="17.28515625" style="146" customWidth="1"/>
    <col min="7731" max="7731" width="8.85546875" style="146"/>
    <col min="7732" max="7732" width="10.85546875" style="146" customWidth="1"/>
    <col min="7733" max="7733" width="8.85546875" style="146"/>
    <col min="7734" max="7734" width="15.42578125" style="146" customWidth="1"/>
    <col min="7735" max="7735" width="11.5703125" style="146" customWidth="1"/>
    <col min="7736" max="7737" width="8.85546875" style="146"/>
    <col min="7738" max="7738" width="9.28515625" style="146" customWidth="1"/>
    <col min="7739" max="7739" width="59.7109375" style="146" customWidth="1"/>
    <col min="7740" max="7740" width="14.140625" style="146" customWidth="1"/>
    <col min="7741" max="7741" width="12.85546875" style="146" customWidth="1"/>
    <col min="7742" max="7742" width="17.28515625" style="146" customWidth="1"/>
    <col min="7743" max="7743" width="8.85546875" style="146"/>
    <col min="7744" max="7744" width="10.85546875" style="146" customWidth="1"/>
    <col min="7745" max="7745" width="8.85546875" style="146"/>
    <col min="7746" max="7746" width="15.42578125" style="146" customWidth="1"/>
    <col min="7747" max="7747" width="11.5703125" style="146" customWidth="1"/>
    <col min="7748" max="7752" width="8.85546875" style="146"/>
    <col min="7753" max="7753" width="68.5703125" style="146" customWidth="1"/>
    <col min="7754" max="7754" width="14" style="146" bestFit="1" customWidth="1"/>
    <col min="7755" max="7755" width="10.28515625" style="146" bestFit="1" customWidth="1"/>
    <col min="7756" max="7756" width="7.7109375" style="146" bestFit="1" customWidth="1"/>
    <col min="7757" max="7757" width="8.85546875" style="146"/>
    <col min="7758" max="7758" width="11" style="146" bestFit="1" customWidth="1"/>
    <col min="7759" max="7761" width="8.85546875" style="146"/>
    <col min="7762" max="7762" width="11.85546875" style="146" bestFit="1" customWidth="1"/>
    <col min="7763" max="7936" width="8.85546875" style="146"/>
    <col min="7937" max="7937" width="8.42578125" style="146" customWidth="1"/>
    <col min="7938" max="7938" width="45.5703125" style="146" customWidth="1"/>
    <col min="7939" max="7939" width="13.28515625" style="146" customWidth="1"/>
    <col min="7940" max="7940" width="10.5703125" style="146" customWidth="1"/>
    <col min="7941" max="7941" width="7.7109375" style="146" customWidth="1"/>
    <col min="7942" max="7942" width="8.42578125" style="146" customWidth="1"/>
    <col min="7943" max="7943" width="12.5703125" style="146" customWidth="1"/>
    <col min="7944" max="7944" width="7.85546875" style="146" customWidth="1"/>
    <col min="7945" max="7945" width="45" style="146" customWidth="1"/>
    <col min="7946" max="7946" width="13.28515625" style="146" customWidth="1"/>
    <col min="7947" max="7947" width="11" style="146" customWidth="1"/>
    <col min="7948" max="7948" width="7.5703125" style="146" customWidth="1"/>
    <col min="7949" max="7949" width="8.85546875" style="146"/>
    <col min="7950" max="7950" width="8" style="146" customWidth="1"/>
    <col min="7951" max="7951" width="43.42578125" style="146" customWidth="1"/>
    <col min="7952" max="7952" width="13.7109375" style="146" customWidth="1"/>
    <col min="7953" max="7953" width="10.85546875" style="146" customWidth="1"/>
    <col min="7954" max="7954" width="7.5703125" style="146" customWidth="1"/>
    <col min="7955" max="7955" width="8.85546875" style="146"/>
    <col min="7956" max="7956" width="8.28515625" style="146" customWidth="1"/>
    <col min="7957" max="7957" width="48.28515625" style="146" customWidth="1"/>
    <col min="7958" max="7958" width="13.28515625" style="146" customWidth="1"/>
    <col min="7959" max="7959" width="10.28515625" style="146" customWidth="1"/>
    <col min="7960" max="7960" width="14.85546875" style="146" customWidth="1"/>
    <col min="7961" max="7961" width="11.5703125" style="146" customWidth="1"/>
    <col min="7962" max="7962" width="8.85546875" style="146"/>
    <col min="7963" max="7963" width="9.28515625" style="146" customWidth="1"/>
    <col min="7964" max="7964" width="59.7109375" style="146" customWidth="1"/>
    <col min="7965" max="7965" width="14.140625" style="146" customWidth="1"/>
    <col min="7966" max="7966" width="12.85546875" style="146" customWidth="1"/>
    <col min="7967" max="7967" width="17.28515625" style="146" customWidth="1"/>
    <col min="7968" max="7969" width="8.85546875" style="146"/>
    <col min="7970" max="7970" width="9.28515625" style="146" customWidth="1"/>
    <col min="7971" max="7971" width="59.7109375" style="146" customWidth="1"/>
    <col min="7972" max="7972" width="14.140625" style="146" customWidth="1"/>
    <col min="7973" max="7973" width="12.85546875" style="146" customWidth="1"/>
    <col min="7974" max="7974" width="17.28515625" style="146" customWidth="1"/>
    <col min="7975" max="7975" width="8.85546875" style="146"/>
    <col min="7976" max="7976" width="10.85546875" style="146" customWidth="1"/>
    <col min="7977" max="7977" width="8.85546875" style="146"/>
    <col min="7978" max="7978" width="15.42578125" style="146" customWidth="1"/>
    <col min="7979" max="7979" width="11.5703125" style="146" customWidth="1"/>
    <col min="7980" max="7981" width="8.85546875" style="146"/>
    <col min="7982" max="7982" width="9.28515625" style="146" customWidth="1"/>
    <col min="7983" max="7983" width="59.7109375" style="146" customWidth="1"/>
    <col min="7984" max="7984" width="14.140625" style="146" customWidth="1"/>
    <col min="7985" max="7985" width="12.85546875" style="146" customWidth="1"/>
    <col min="7986" max="7986" width="17.28515625" style="146" customWidth="1"/>
    <col min="7987" max="7987" width="8.85546875" style="146"/>
    <col min="7988" max="7988" width="10.85546875" style="146" customWidth="1"/>
    <col min="7989" max="7989" width="8.85546875" style="146"/>
    <col min="7990" max="7990" width="15.42578125" style="146" customWidth="1"/>
    <col min="7991" max="7991" width="11.5703125" style="146" customWidth="1"/>
    <col min="7992" max="7993" width="8.85546875" style="146"/>
    <col min="7994" max="7994" width="9.28515625" style="146" customWidth="1"/>
    <col min="7995" max="7995" width="59.7109375" style="146" customWidth="1"/>
    <col min="7996" max="7996" width="14.140625" style="146" customWidth="1"/>
    <col min="7997" max="7997" width="12.85546875" style="146" customWidth="1"/>
    <col min="7998" max="7998" width="17.28515625" style="146" customWidth="1"/>
    <col min="7999" max="7999" width="8.85546875" style="146"/>
    <col min="8000" max="8000" width="10.85546875" style="146" customWidth="1"/>
    <col min="8001" max="8001" width="8.85546875" style="146"/>
    <col min="8002" max="8002" width="15.42578125" style="146" customWidth="1"/>
    <col min="8003" max="8003" width="11.5703125" style="146" customWidth="1"/>
    <col min="8004" max="8008" width="8.85546875" style="146"/>
    <col min="8009" max="8009" width="68.5703125" style="146" customWidth="1"/>
    <col min="8010" max="8010" width="14" style="146" bestFit="1" customWidth="1"/>
    <col min="8011" max="8011" width="10.28515625" style="146" bestFit="1" customWidth="1"/>
    <col min="8012" max="8012" width="7.7109375" style="146" bestFit="1" customWidth="1"/>
    <col min="8013" max="8013" width="8.85546875" style="146"/>
    <col min="8014" max="8014" width="11" style="146" bestFit="1" customWidth="1"/>
    <col min="8015" max="8017" width="8.85546875" style="146"/>
    <col min="8018" max="8018" width="11.85546875" style="146" bestFit="1" customWidth="1"/>
    <col min="8019" max="8192" width="8.85546875" style="146"/>
    <col min="8193" max="8193" width="8.42578125" style="146" customWidth="1"/>
    <col min="8194" max="8194" width="45.5703125" style="146" customWidth="1"/>
    <col min="8195" max="8195" width="13.28515625" style="146" customWidth="1"/>
    <col min="8196" max="8196" width="10.5703125" style="146" customWidth="1"/>
    <col min="8197" max="8197" width="7.7109375" style="146" customWidth="1"/>
    <col min="8198" max="8198" width="8.42578125" style="146" customWidth="1"/>
    <col min="8199" max="8199" width="12.5703125" style="146" customWidth="1"/>
    <col min="8200" max="8200" width="7.85546875" style="146" customWidth="1"/>
    <col min="8201" max="8201" width="45" style="146" customWidth="1"/>
    <col min="8202" max="8202" width="13.28515625" style="146" customWidth="1"/>
    <col min="8203" max="8203" width="11" style="146" customWidth="1"/>
    <col min="8204" max="8204" width="7.5703125" style="146" customWidth="1"/>
    <col min="8205" max="8205" width="8.85546875" style="146"/>
    <col min="8206" max="8206" width="8" style="146" customWidth="1"/>
    <col min="8207" max="8207" width="43.42578125" style="146" customWidth="1"/>
    <col min="8208" max="8208" width="13.7109375" style="146" customWidth="1"/>
    <col min="8209" max="8209" width="10.85546875" style="146" customWidth="1"/>
    <col min="8210" max="8210" width="7.5703125" style="146" customWidth="1"/>
    <col min="8211" max="8211" width="8.85546875" style="146"/>
    <col min="8212" max="8212" width="8.28515625" style="146" customWidth="1"/>
    <col min="8213" max="8213" width="48.28515625" style="146" customWidth="1"/>
    <col min="8214" max="8214" width="13.28515625" style="146" customWidth="1"/>
    <col min="8215" max="8215" width="10.28515625" style="146" customWidth="1"/>
    <col min="8216" max="8216" width="14.85546875" style="146" customWidth="1"/>
    <col min="8217" max="8217" width="11.5703125" style="146" customWidth="1"/>
    <col min="8218" max="8218" width="8.85546875" style="146"/>
    <col min="8219" max="8219" width="9.28515625" style="146" customWidth="1"/>
    <col min="8220" max="8220" width="59.7109375" style="146" customWidth="1"/>
    <col min="8221" max="8221" width="14.140625" style="146" customWidth="1"/>
    <col min="8222" max="8222" width="12.85546875" style="146" customWidth="1"/>
    <col min="8223" max="8223" width="17.28515625" style="146" customWidth="1"/>
    <col min="8224" max="8225" width="8.85546875" style="146"/>
    <col min="8226" max="8226" width="9.28515625" style="146" customWidth="1"/>
    <col min="8227" max="8227" width="59.7109375" style="146" customWidth="1"/>
    <col min="8228" max="8228" width="14.140625" style="146" customWidth="1"/>
    <col min="8229" max="8229" width="12.85546875" style="146" customWidth="1"/>
    <col min="8230" max="8230" width="17.28515625" style="146" customWidth="1"/>
    <col min="8231" max="8231" width="8.85546875" style="146"/>
    <col min="8232" max="8232" width="10.85546875" style="146" customWidth="1"/>
    <col min="8233" max="8233" width="8.85546875" style="146"/>
    <col min="8234" max="8234" width="15.42578125" style="146" customWidth="1"/>
    <col min="8235" max="8235" width="11.5703125" style="146" customWidth="1"/>
    <col min="8236" max="8237" width="8.85546875" style="146"/>
    <col min="8238" max="8238" width="9.28515625" style="146" customWidth="1"/>
    <col min="8239" max="8239" width="59.7109375" style="146" customWidth="1"/>
    <col min="8240" max="8240" width="14.140625" style="146" customWidth="1"/>
    <col min="8241" max="8241" width="12.85546875" style="146" customWidth="1"/>
    <col min="8242" max="8242" width="17.28515625" style="146" customWidth="1"/>
    <col min="8243" max="8243" width="8.85546875" style="146"/>
    <col min="8244" max="8244" width="10.85546875" style="146" customWidth="1"/>
    <col min="8245" max="8245" width="8.85546875" style="146"/>
    <col min="8246" max="8246" width="15.42578125" style="146" customWidth="1"/>
    <col min="8247" max="8247" width="11.5703125" style="146" customWidth="1"/>
    <col min="8248" max="8249" width="8.85546875" style="146"/>
    <col min="8250" max="8250" width="9.28515625" style="146" customWidth="1"/>
    <col min="8251" max="8251" width="59.7109375" style="146" customWidth="1"/>
    <col min="8252" max="8252" width="14.140625" style="146" customWidth="1"/>
    <col min="8253" max="8253" width="12.85546875" style="146" customWidth="1"/>
    <col min="8254" max="8254" width="17.28515625" style="146" customWidth="1"/>
    <col min="8255" max="8255" width="8.85546875" style="146"/>
    <col min="8256" max="8256" width="10.85546875" style="146" customWidth="1"/>
    <col min="8257" max="8257" width="8.85546875" style="146"/>
    <col min="8258" max="8258" width="15.42578125" style="146" customWidth="1"/>
    <col min="8259" max="8259" width="11.5703125" style="146" customWidth="1"/>
    <col min="8260" max="8264" width="8.85546875" style="146"/>
    <col min="8265" max="8265" width="68.5703125" style="146" customWidth="1"/>
    <col min="8266" max="8266" width="14" style="146" bestFit="1" customWidth="1"/>
    <col min="8267" max="8267" width="10.28515625" style="146" bestFit="1" customWidth="1"/>
    <col min="8268" max="8268" width="7.7109375" style="146" bestFit="1" customWidth="1"/>
    <col min="8269" max="8269" width="8.85546875" style="146"/>
    <col min="8270" max="8270" width="11" style="146" bestFit="1" customWidth="1"/>
    <col min="8271" max="8273" width="8.85546875" style="146"/>
    <col min="8274" max="8274" width="11.85546875" style="146" bestFit="1" customWidth="1"/>
    <col min="8275" max="8448" width="8.85546875" style="146"/>
    <col min="8449" max="8449" width="8.42578125" style="146" customWidth="1"/>
    <col min="8450" max="8450" width="45.5703125" style="146" customWidth="1"/>
    <col min="8451" max="8451" width="13.28515625" style="146" customWidth="1"/>
    <col min="8452" max="8452" width="10.5703125" style="146" customWidth="1"/>
    <col min="8453" max="8453" width="7.7109375" style="146" customWidth="1"/>
    <col min="8454" max="8454" width="8.42578125" style="146" customWidth="1"/>
    <col min="8455" max="8455" width="12.5703125" style="146" customWidth="1"/>
    <col min="8456" max="8456" width="7.85546875" style="146" customWidth="1"/>
    <col min="8457" max="8457" width="45" style="146" customWidth="1"/>
    <col min="8458" max="8458" width="13.28515625" style="146" customWidth="1"/>
    <col min="8459" max="8459" width="11" style="146" customWidth="1"/>
    <col min="8460" max="8460" width="7.5703125" style="146" customWidth="1"/>
    <col min="8461" max="8461" width="8.85546875" style="146"/>
    <col min="8462" max="8462" width="8" style="146" customWidth="1"/>
    <col min="8463" max="8463" width="43.42578125" style="146" customWidth="1"/>
    <col min="8464" max="8464" width="13.7109375" style="146" customWidth="1"/>
    <col min="8465" max="8465" width="10.85546875" style="146" customWidth="1"/>
    <col min="8466" max="8466" width="7.5703125" style="146" customWidth="1"/>
    <col min="8467" max="8467" width="8.85546875" style="146"/>
    <col min="8468" max="8468" width="8.28515625" style="146" customWidth="1"/>
    <col min="8469" max="8469" width="48.28515625" style="146" customWidth="1"/>
    <col min="8470" max="8470" width="13.28515625" style="146" customWidth="1"/>
    <col min="8471" max="8471" width="10.28515625" style="146" customWidth="1"/>
    <col min="8472" max="8472" width="14.85546875" style="146" customWidth="1"/>
    <col min="8473" max="8473" width="11.5703125" style="146" customWidth="1"/>
    <col min="8474" max="8474" width="8.85546875" style="146"/>
    <col min="8475" max="8475" width="9.28515625" style="146" customWidth="1"/>
    <col min="8476" max="8476" width="59.7109375" style="146" customWidth="1"/>
    <col min="8477" max="8477" width="14.140625" style="146" customWidth="1"/>
    <col min="8478" max="8478" width="12.85546875" style="146" customWidth="1"/>
    <col min="8479" max="8479" width="17.28515625" style="146" customWidth="1"/>
    <col min="8480" max="8481" width="8.85546875" style="146"/>
    <col min="8482" max="8482" width="9.28515625" style="146" customWidth="1"/>
    <col min="8483" max="8483" width="59.7109375" style="146" customWidth="1"/>
    <col min="8484" max="8484" width="14.140625" style="146" customWidth="1"/>
    <col min="8485" max="8485" width="12.85546875" style="146" customWidth="1"/>
    <col min="8486" max="8486" width="17.28515625" style="146" customWidth="1"/>
    <col min="8487" max="8487" width="8.85546875" style="146"/>
    <col min="8488" max="8488" width="10.85546875" style="146" customWidth="1"/>
    <col min="8489" max="8489" width="8.85546875" style="146"/>
    <col min="8490" max="8490" width="15.42578125" style="146" customWidth="1"/>
    <col min="8491" max="8491" width="11.5703125" style="146" customWidth="1"/>
    <col min="8492" max="8493" width="8.85546875" style="146"/>
    <col min="8494" max="8494" width="9.28515625" style="146" customWidth="1"/>
    <col min="8495" max="8495" width="59.7109375" style="146" customWidth="1"/>
    <col min="8496" max="8496" width="14.140625" style="146" customWidth="1"/>
    <col min="8497" max="8497" width="12.85546875" style="146" customWidth="1"/>
    <col min="8498" max="8498" width="17.28515625" style="146" customWidth="1"/>
    <col min="8499" max="8499" width="8.85546875" style="146"/>
    <col min="8500" max="8500" width="10.85546875" style="146" customWidth="1"/>
    <col min="8501" max="8501" width="8.85546875" style="146"/>
    <col min="8502" max="8502" width="15.42578125" style="146" customWidth="1"/>
    <col min="8503" max="8503" width="11.5703125" style="146" customWidth="1"/>
    <col min="8504" max="8505" width="8.85546875" style="146"/>
    <col min="8506" max="8506" width="9.28515625" style="146" customWidth="1"/>
    <col min="8507" max="8507" width="59.7109375" style="146" customWidth="1"/>
    <col min="8508" max="8508" width="14.140625" style="146" customWidth="1"/>
    <col min="8509" max="8509" width="12.85546875" style="146" customWidth="1"/>
    <col min="8510" max="8510" width="17.28515625" style="146" customWidth="1"/>
    <col min="8511" max="8511" width="8.85546875" style="146"/>
    <col min="8512" max="8512" width="10.85546875" style="146" customWidth="1"/>
    <col min="8513" max="8513" width="8.85546875" style="146"/>
    <col min="8514" max="8514" width="15.42578125" style="146" customWidth="1"/>
    <col min="8515" max="8515" width="11.5703125" style="146" customWidth="1"/>
    <col min="8516" max="8520" width="8.85546875" style="146"/>
    <col min="8521" max="8521" width="68.5703125" style="146" customWidth="1"/>
    <col min="8522" max="8522" width="14" style="146" bestFit="1" customWidth="1"/>
    <col min="8523" max="8523" width="10.28515625" style="146" bestFit="1" customWidth="1"/>
    <col min="8524" max="8524" width="7.7109375" style="146" bestFit="1" customWidth="1"/>
    <col min="8525" max="8525" width="8.85546875" style="146"/>
    <col min="8526" max="8526" width="11" style="146" bestFit="1" customWidth="1"/>
    <col min="8527" max="8529" width="8.85546875" style="146"/>
    <col min="8530" max="8530" width="11.85546875" style="146" bestFit="1" customWidth="1"/>
    <col min="8531" max="8704" width="8.85546875" style="146"/>
    <col min="8705" max="8705" width="8.42578125" style="146" customWidth="1"/>
    <col min="8706" max="8706" width="45.5703125" style="146" customWidth="1"/>
    <col min="8707" max="8707" width="13.28515625" style="146" customWidth="1"/>
    <col min="8708" max="8708" width="10.5703125" style="146" customWidth="1"/>
    <col min="8709" max="8709" width="7.7109375" style="146" customWidth="1"/>
    <col min="8710" max="8710" width="8.42578125" style="146" customWidth="1"/>
    <col min="8711" max="8711" width="12.5703125" style="146" customWidth="1"/>
    <col min="8712" max="8712" width="7.85546875" style="146" customWidth="1"/>
    <col min="8713" max="8713" width="45" style="146" customWidth="1"/>
    <col min="8714" max="8714" width="13.28515625" style="146" customWidth="1"/>
    <col min="8715" max="8715" width="11" style="146" customWidth="1"/>
    <col min="8716" max="8716" width="7.5703125" style="146" customWidth="1"/>
    <col min="8717" max="8717" width="8.85546875" style="146"/>
    <col min="8718" max="8718" width="8" style="146" customWidth="1"/>
    <col min="8719" max="8719" width="43.42578125" style="146" customWidth="1"/>
    <col min="8720" max="8720" width="13.7109375" style="146" customWidth="1"/>
    <col min="8721" max="8721" width="10.85546875" style="146" customWidth="1"/>
    <col min="8722" max="8722" width="7.5703125" style="146" customWidth="1"/>
    <col min="8723" max="8723" width="8.85546875" style="146"/>
    <col min="8724" max="8724" width="8.28515625" style="146" customWidth="1"/>
    <col min="8725" max="8725" width="48.28515625" style="146" customWidth="1"/>
    <col min="8726" max="8726" width="13.28515625" style="146" customWidth="1"/>
    <col min="8727" max="8727" width="10.28515625" style="146" customWidth="1"/>
    <col min="8728" max="8728" width="14.85546875" style="146" customWidth="1"/>
    <col min="8729" max="8729" width="11.5703125" style="146" customWidth="1"/>
    <col min="8730" max="8730" width="8.85546875" style="146"/>
    <col min="8731" max="8731" width="9.28515625" style="146" customWidth="1"/>
    <col min="8732" max="8732" width="59.7109375" style="146" customWidth="1"/>
    <col min="8733" max="8733" width="14.140625" style="146" customWidth="1"/>
    <col min="8734" max="8734" width="12.85546875" style="146" customWidth="1"/>
    <col min="8735" max="8735" width="17.28515625" style="146" customWidth="1"/>
    <col min="8736" max="8737" width="8.85546875" style="146"/>
    <col min="8738" max="8738" width="9.28515625" style="146" customWidth="1"/>
    <col min="8739" max="8739" width="59.7109375" style="146" customWidth="1"/>
    <col min="8740" max="8740" width="14.140625" style="146" customWidth="1"/>
    <col min="8741" max="8741" width="12.85546875" style="146" customWidth="1"/>
    <col min="8742" max="8742" width="17.28515625" style="146" customWidth="1"/>
    <col min="8743" max="8743" width="8.85546875" style="146"/>
    <col min="8744" max="8744" width="10.85546875" style="146" customWidth="1"/>
    <col min="8745" max="8745" width="8.85546875" style="146"/>
    <col min="8746" max="8746" width="15.42578125" style="146" customWidth="1"/>
    <col min="8747" max="8747" width="11.5703125" style="146" customWidth="1"/>
    <col min="8748" max="8749" width="8.85546875" style="146"/>
    <col min="8750" max="8750" width="9.28515625" style="146" customWidth="1"/>
    <col min="8751" max="8751" width="59.7109375" style="146" customWidth="1"/>
    <col min="8752" max="8752" width="14.140625" style="146" customWidth="1"/>
    <col min="8753" max="8753" width="12.85546875" style="146" customWidth="1"/>
    <col min="8754" max="8754" width="17.28515625" style="146" customWidth="1"/>
    <col min="8755" max="8755" width="8.85546875" style="146"/>
    <col min="8756" max="8756" width="10.85546875" style="146" customWidth="1"/>
    <col min="8757" max="8757" width="8.85546875" style="146"/>
    <col min="8758" max="8758" width="15.42578125" style="146" customWidth="1"/>
    <col min="8759" max="8759" width="11.5703125" style="146" customWidth="1"/>
    <col min="8760" max="8761" width="8.85546875" style="146"/>
    <col min="8762" max="8762" width="9.28515625" style="146" customWidth="1"/>
    <col min="8763" max="8763" width="59.7109375" style="146" customWidth="1"/>
    <col min="8764" max="8764" width="14.140625" style="146" customWidth="1"/>
    <col min="8765" max="8765" width="12.85546875" style="146" customWidth="1"/>
    <col min="8766" max="8766" width="17.28515625" style="146" customWidth="1"/>
    <col min="8767" max="8767" width="8.85546875" style="146"/>
    <col min="8768" max="8768" width="10.85546875" style="146" customWidth="1"/>
    <col min="8769" max="8769" width="8.85546875" style="146"/>
    <col min="8770" max="8770" width="15.42578125" style="146" customWidth="1"/>
    <col min="8771" max="8771" width="11.5703125" style="146" customWidth="1"/>
    <col min="8772" max="8776" width="8.85546875" style="146"/>
    <col min="8777" max="8777" width="68.5703125" style="146" customWidth="1"/>
    <col min="8778" max="8778" width="14" style="146" bestFit="1" customWidth="1"/>
    <col min="8779" max="8779" width="10.28515625" style="146" bestFit="1" customWidth="1"/>
    <col min="8780" max="8780" width="7.7109375" style="146" bestFit="1" customWidth="1"/>
    <col min="8781" max="8781" width="8.85546875" style="146"/>
    <col min="8782" max="8782" width="11" style="146" bestFit="1" customWidth="1"/>
    <col min="8783" max="8785" width="8.85546875" style="146"/>
    <col min="8786" max="8786" width="11.85546875" style="146" bestFit="1" customWidth="1"/>
    <col min="8787" max="8960" width="8.85546875" style="146"/>
    <col min="8961" max="8961" width="8.42578125" style="146" customWidth="1"/>
    <col min="8962" max="8962" width="45.5703125" style="146" customWidth="1"/>
    <col min="8963" max="8963" width="13.28515625" style="146" customWidth="1"/>
    <col min="8964" max="8964" width="10.5703125" style="146" customWidth="1"/>
    <col min="8965" max="8965" width="7.7109375" style="146" customWidth="1"/>
    <col min="8966" max="8966" width="8.42578125" style="146" customWidth="1"/>
    <col min="8967" max="8967" width="12.5703125" style="146" customWidth="1"/>
    <col min="8968" max="8968" width="7.85546875" style="146" customWidth="1"/>
    <col min="8969" max="8969" width="45" style="146" customWidth="1"/>
    <col min="8970" max="8970" width="13.28515625" style="146" customWidth="1"/>
    <col min="8971" max="8971" width="11" style="146" customWidth="1"/>
    <col min="8972" max="8972" width="7.5703125" style="146" customWidth="1"/>
    <col min="8973" max="8973" width="8.85546875" style="146"/>
    <col min="8974" max="8974" width="8" style="146" customWidth="1"/>
    <col min="8975" max="8975" width="43.42578125" style="146" customWidth="1"/>
    <col min="8976" max="8976" width="13.7109375" style="146" customWidth="1"/>
    <col min="8977" max="8977" width="10.85546875" style="146" customWidth="1"/>
    <col min="8978" max="8978" width="7.5703125" style="146" customWidth="1"/>
    <col min="8979" max="8979" width="8.85546875" style="146"/>
    <col min="8980" max="8980" width="8.28515625" style="146" customWidth="1"/>
    <col min="8981" max="8981" width="48.28515625" style="146" customWidth="1"/>
    <col min="8982" max="8982" width="13.28515625" style="146" customWidth="1"/>
    <col min="8983" max="8983" width="10.28515625" style="146" customWidth="1"/>
    <col min="8984" max="8984" width="14.85546875" style="146" customWidth="1"/>
    <col min="8985" max="8985" width="11.5703125" style="146" customWidth="1"/>
    <col min="8986" max="8986" width="8.85546875" style="146"/>
    <col min="8987" max="8987" width="9.28515625" style="146" customWidth="1"/>
    <col min="8988" max="8988" width="59.7109375" style="146" customWidth="1"/>
    <col min="8989" max="8989" width="14.140625" style="146" customWidth="1"/>
    <col min="8990" max="8990" width="12.85546875" style="146" customWidth="1"/>
    <col min="8991" max="8991" width="17.28515625" style="146" customWidth="1"/>
    <col min="8992" max="8993" width="8.85546875" style="146"/>
    <col min="8994" max="8994" width="9.28515625" style="146" customWidth="1"/>
    <col min="8995" max="8995" width="59.7109375" style="146" customWidth="1"/>
    <col min="8996" max="8996" width="14.140625" style="146" customWidth="1"/>
    <col min="8997" max="8997" width="12.85546875" style="146" customWidth="1"/>
    <col min="8998" max="8998" width="17.28515625" style="146" customWidth="1"/>
    <col min="8999" max="8999" width="8.85546875" style="146"/>
    <col min="9000" max="9000" width="10.85546875" style="146" customWidth="1"/>
    <col min="9001" max="9001" width="8.85546875" style="146"/>
    <col min="9002" max="9002" width="15.42578125" style="146" customWidth="1"/>
    <col min="9003" max="9003" width="11.5703125" style="146" customWidth="1"/>
    <col min="9004" max="9005" width="8.85546875" style="146"/>
    <col min="9006" max="9006" width="9.28515625" style="146" customWidth="1"/>
    <col min="9007" max="9007" width="59.7109375" style="146" customWidth="1"/>
    <col min="9008" max="9008" width="14.140625" style="146" customWidth="1"/>
    <col min="9009" max="9009" width="12.85546875" style="146" customWidth="1"/>
    <col min="9010" max="9010" width="17.28515625" style="146" customWidth="1"/>
    <col min="9011" max="9011" width="8.85546875" style="146"/>
    <col min="9012" max="9012" width="10.85546875" style="146" customWidth="1"/>
    <col min="9013" max="9013" width="8.85546875" style="146"/>
    <col min="9014" max="9014" width="15.42578125" style="146" customWidth="1"/>
    <col min="9015" max="9015" width="11.5703125" style="146" customWidth="1"/>
    <col min="9016" max="9017" width="8.85546875" style="146"/>
    <col min="9018" max="9018" width="9.28515625" style="146" customWidth="1"/>
    <col min="9019" max="9019" width="59.7109375" style="146" customWidth="1"/>
    <col min="9020" max="9020" width="14.140625" style="146" customWidth="1"/>
    <col min="9021" max="9021" width="12.85546875" style="146" customWidth="1"/>
    <col min="9022" max="9022" width="17.28515625" style="146" customWidth="1"/>
    <col min="9023" max="9023" width="8.85546875" style="146"/>
    <col min="9024" max="9024" width="10.85546875" style="146" customWidth="1"/>
    <col min="9025" max="9025" width="8.85546875" style="146"/>
    <col min="9026" max="9026" width="15.42578125" style="146" customWidth="1"/>
    <col min="9027" max="9027" width="11.5703125" style="146" customWidth="1"/>
    <col min="9028" max="9032" width="8.85546875" style="146"/>
    <col min="9033" max="9033" width="68.5703125" style="146" customWidth="1"/>
    <col min="9034" max="9034" width="14" style="146" bestFit="1" customWidth="1"/>
    <col min="9035" max="9035" width="10.28515625" style="146" bestFit="1" customWidth="1"/>
    <col min="9036" max="9036" width="7.7109375" style="146" bestFit="1" customWidth="1"/>
    <col min="9037" max="9037" width="8.85546875" style="146"/>
    <col min="9038" max="9038" width="11" style="146" bestFit="1" customWidth="1"/>
    <col min="9039" max="9041" width="8.85546875" style="146"/>
    <col min="9042" max="9042" width="11.85546875" style="146" bestFit="1" customWidth="1"/>
    <col min="9043" max="9216" width="8.85546875" style="146"/>
    <col min="9217" max="9217" width="8.42578125" style="146" customWidth="1"/>
    <col min="9218" max="9218" width="45.5703125" style="146" customWidth="1"/>
    <col min="9219" max="9219" width="13.28515625" style="146" customWidth="1"/>
    <col min="9220" max="9220" width="10.5703125" style="146" customWidth="1"/>
    <col min="9221" max="9221" width="7.7109375" style="146" customWidth="1"/>
    <col min="9222" max="9222" width="8.42578125" style="146" customWidth="1"/>
    <col min="9223" max="9223" width="12.5703125" style="146" customWidth="1"/>
    <col min="9224" max="9224" width="7.85546875" style="146" customWidth="1"/>
    <col min="9225" max="9225" width="45" style="146" customWidth="1"/>
    <col min="9226" max="9226" width="13.28515625" style="146" customWidth="1"/>
    <col min="9227" max="9227" width="11" style="146" customWidth="1"/>
    <col min="9228" max="9228" width="7.5703125" style="146" customWidth="1"/>
    <col min="9229" max="9229" width="8.85546875" style="146"/>
    <col min="9230" max="9230" width="8" style="146" customWidth="1"/>
    <col min="9231" max="9231" width="43.42578125" style="146" customWidth="1"/>
    <col min="9232" max="9232" width="13.7109375" style="146" customWidth="1"/>
    <col min="9233" max="9233" width="10.85546875" style="146" customWidth="1"/>
    <col min="9234" max="9234" width="7.5703125" style="146" customWidth="1"/>
    <col min="9235" max="9235" width="8.85546875" style="146"/>
    <col min="9236" max="9236" width="8.28515625" style="146" customWidth="1"/>
    <col min="9237" max="9237" width="48.28515625" style="146" customWidth="1"/>
    <col min="9238" max="9238" width="13.28515625" style="146" customWidth="1"/>
    <col min="9239" max="9239" width="10.28515625" style="146" customWidth="1"/>
    <col min="9240" max="9240" width="14.85546875" style="146" customWidth="1"/>
    <col min="9241" max="9241" width="11.5703125" style="146" customWidth="1"/>
    <col min="9242" max="9242" width="8.85546875" style="146"/>
    <col min="9243" max="9243" width="9.28515625" style="146" customWidth="1"/>
    <col min="9244" max="9244" width="59.7109375" style="146" customWidth="1"/>
    <col min="9245" max="9245" width="14.140625" style="146" customWidth="1"/>
    <col min="9246" max="9246" width="12.85546875" style="146" customWidth="1"/>
    <col min="9247" max="9247" width="17.28515625" style="146" customWidth="1"/>
    <col min="9248" max="9249" width="8.85546875" style="146"/>
    <col min="9250" max="9250" width="9.28515625" style="146" customWidth="1"/>
    <col min="9251" max="9251" width="59.7109375" style="146" customWidth="1"/>
    <col min="9252" max="9252" width="14.140625" style="146" customWidth="1"/>
    <col min="9253" max="9253" width="12.85546875" style="146" customWidth="1"/>
    <col min="9254" max="9254" width="17.28515625" style="146" customWidth="1"/>
    <col min="9255" max="9255" width="8.85546875" style="146"/>
    <col min="9256" max="9256" width="10.85546875" style="146" customWidth="1"/>
    <col min="9257" max="9257" width="8.85546875" style="146"/>
    <col min="9258" max="9258" width="15.42578125" style="146" customWidth="1"/>
    <col min="9259" max="9259" width="11.5703125" style="146" customWidth="1"/>
    <col min="9260" max="9261" width="8.85546875" style="146"/>
    <col min="9262" max="9262" width="9.28515625" style="146" customWidth="1"/>
    <col min="9263" max="9263" width="59.7109375" style="146" customWidth="1"/>
    <col min="9264" max="9264" width="14.140625" style="146" customWidth="1"/>
    <col min="9265" max="9265" width="12.85546875" style="146" customWidth="1"/>
    <col min="9266" max="9266" width="17.28515625" style="146" customWidth="1"/>
    <col min="9267" max="9267" width="8.85546875" style="146"/>
    <col min="9268" max="9268" width="10.85546875" style="146" customWidth="1"/>
    <col min="9269" max="9269" width="8.85546875" style="146"/>
    <col min="9270" max="9270" width="15.42578125" style="146" customWidth="1"/>
    <col min="9271" max="9271" width="11.5703125" style="146" customWidth="1"/>
    <col min="9272" max="9273" width="8.85546875" style="146"/>
    <col min="9274" max="9274" width="9.28515625" style="146" customWidth="1"/>
    <col min="9275" max="9275" width="59.7109375" style="146" customWidth="1"/>
    <col min="9276" max="9276" width="14.140625" style="146" customWidth="1"/>
    <col min="9277" max="9277" width="12.85546875" style="146" customWidth="1"/>
    <col min="9278" max="9278" width="17.28515625" style="146" customWidth="1"/>
    <col min="9279" max="9279" width="8.85546875" style="146"/>
    <col min="9280" max="9280" width="10.85546875" style="146" customWidth="1"/>
    <col min="9281" max="9281" width="8.85546875" style="146"/>
    <col min="9282" max="9282" width="15.42578125" style="146" customWidth="1"/>
    <col min="9283" max="9283" width="11.5703125" style="146" customWidth="1"/>
    <col min="9284" max="9288" width="8.85546875" style="146"/>
    <col min="9289" max="9289" width="68.5703125" style="146" customWidth="1"/>
    <col min="9290" max="9290" width="14" style="146" bestFit="1" customWidth="1"/>
    <col min="9291" max="9291" width="10.28515625" style="146" bestFit="1" customWidth="1"/>
    <col min="9292" max="9292" width="7.7109375" style="146" bestFit="1" customWidth="1"/>
    <col min="9293" max="9293" width="8.85546875" style="146"/>
    <col min="9294" max="9294" width="11" style="146" bestFit="1" customWidth="1"/>
    <col min="9295" max="9297" width="8.85546875" style="146"/>
    <col min="9298" max="9298" width="11.85546875" style="146" bestFit="1" customWidth="1"/>
    <col min="9299" max="9472" width="8.85546875" style="146"/>
    <col min="9473" max="9473" width="8.42578125" style="146" customWidth="1"/>
    <col min="9474" max="9474" width="45.5703125" style="146" customWidth="1"/>
    <col min="9475" max="9475" width="13.28515625" style="146" customWidth="1"/>
    <col min="9476" max="9476" width="10.5703125" style="146" customWidth="1"/>
    <col min="9477" max="9477" width="7.7109375" style="146" customWidth="1"/>
    <col min="9478" max="9478" width="8.42578125" style="146" customWidth="1"/>
    <col min="9479" max="9479" width="12.5703125" style="146" customWidth="1"/>
    <col min="9480" max="9480" width="7.85546875" style="146" customWidth="1"/>
    <col min="9481" max="9481" width="45" style="146" customWidth="1"/>
    <col min="9482" max="9482" width="13.28515625" style="146" customWidth="1"/>
    <col min="9483" max="9483" width="11" style="146" customWidth="1"/>
    <col min="9484" max="9484" width="7.5703125" style="146" customWidth="1"/>
    <col min="9485" max="9485" width="8.85546875" style="146"/>
    <col min="9486" max="9486" width="8" style="146" customWidth="1"/>
    <col min="9487" max="9487" width="43.42578125" style="146" customWidth="1"/>
    <col min="9488" max="9488" width="13.7109375" style="146" customWidth="1"/>
    <col min="9489" max="9489" width="10.85546875" style="146" customWidth="1"/>
    <col min="9490" max="9490" width="7.5703125" style="146" customWidth="1"/>
    <col min="9491" max="9491" width="8.85546875" style="146"/>
    <col min="9492" max="9492" width="8.28515625" style="146" customWidth="1"/>
    <col min="9493" max="9493" width="48.28515625" style="146" customWidth="1"/>
    <col min="9494" max="9494" width="13.28515625" style="146" customWidth="1"/>
    <col min="9495" max="9495" width="10.28515625" style="146" customWidth="1"/>
    <col min="9496" max="9496" width="14.85546875" style="146" customWidth="1"/>
    <col min="9497" max="9497" width="11.5703125" style="146" customWidth="1"/>
    <col min="9498" max="9498" width="8.85546875" style="146"/>
    <col min="9499" max="9499" width="9.28515625" style="146" customWidth="1"/>
    <col min="9500" max="9500" width="59.7109375" style="146" customWidth="1"/>
    <col min="9501" max="9501" width="14.140625" style="146" customWidth="1"/>
    <col min="9502" max="9502" width="12.85546875" style="146" customWidth="1"/>
    <col min="9503" max="9503" width="17.28515625" style="146" customWidth="1"/>
    <col min="9504" max="9505" width="8.85546875" style="146"/>
    <col min="9506" max="9506" width="9.28515625" style="146" customWidth="1"/>
    <col min="9507" max="9507" width="59.7109375" style="146" customWidth="1"/>
    <col min="9508" max="9508" width="14.140625" style="146" customWidth="1"/>
    <col min="9509" max="9509" width="12.85546875" style="146" customWidth="1"/>
    <col min="9510" max="9510" width="17.28515625" style="146" customWidth="1"/>
    <col min="9511" max="9511" width="8.85546875" style="146"/>
    <col min="9512" max="9512" width="10.85546875" style="146" customWidth="1"/>
    <col min="9513" max="9513" width="8.85546875" style="146"/>
    <col min="9514" max="9514" width="15.42578125" style="146" customWidth="1"/>
    <col min="9515" max="9515" width="11.5703125" style="146" customWidth="1"/>
    <col min="9516" max="9517" width="8.85546875" style="146"/>
    <col min="9518" max="9518" width="9.28515625" style="146" customWidth="1"/>
    <col min="9519" max="9519" width="59.7109375" style="146" customWidth="1"/>
    <col min="9520" max="9520" width="14.140625" style="146" customWidth="1"/>
    <col min="9521" max="9521" width="12.85546875" style="146" customWidth="1"/>
    <col min="9522" max="9522" width="17.28515625" style="146" customWidth="1"/>
    <col min="9523" max="9523" width="8.85546875" style="146"/>
    <col min="9524" max="9524" width="10.85546875" style="146" customWidth="1"/>
    <col min="9525" max="9525" width="8.85546875" style="146"/>
    <col min="9526" max="9526" width="15.42578125" style="146" customWidth="1"/>
    <col min="9527" max="9527" width="11.5703125" style="146" customWidth="1"/>
    <col min="9528" max="9529" width="8.85546875" style="146"/>
    <col min="9530" max="9530" width="9.28515625" style="146" customWidth="1"/>
    <col min="9531" max="9531" width="59.7109375" style="146" customWidth="1"/>
    <col min="9532" max="9532" width="14.140625" style="146" customWidth="1"/>
    <col min="9533" max="9533" width="12.85546875" style="146" customWidth="1"/>
    <col min="9534" max="9534" width="17.28515625" style="146" customWidth="1"/>
    <col min="9535" max="9535" width="8.85546875" style="146"/>
    <col min="9536" max="9536" width="10.85546875" style="146" customWidth="1"/>
    <col min="9537" max="9537" width="8.85546875" style="146"/>
    <col min="9538" max="9538" width="15.42578125" style="146" customWidth="1"/>
    <col min="9539" max="9539" width="11.5703125" style="146" customWidth="1"/>
    <col min="9540" max="9544" width="8.85546875" style="146"/>
    <col min="9545" max="9545" width="68.5703125" style="146" customWidth="1"/>
    <col min="9546" max="9546" width="14" style="146" bestFit="1" customWidth="1"/>
    <col min="9547" max="9547" width="10.28515625" style="146" bestFit="1" customWidth="1"/>
    <col min="9548" max="9548" width="7.7109375" style="146" bestFit="1" customWidth="1"/>
    <col min="9549" max="9549" width="8.85546875" style="146"/>
    <col min="9550" max="9550" width="11" style="146" bestFit="1" customWidth="1"/>
    <col min="9551" max="9553" width="8.85546875" style="146"/>
    <col min="9554" max="9554" width="11.85546875" style="146" bestFit="1" customWidth="1"/>
    <col min="9555" max="9728" width="8.85546875" style="146"/>
    <col min="9729" max="9729" width="8.42578125" style="146" customWidth="1"/>
    <col min="9730" max="9730" width="45.5703125" style="146" customWidth="1"/>
    <col min="9731" max="9731" width="13.28515625" style="146" customWidth="1"/>
    <col min="9732" max="9732" width="10.5703125" style="146" customWidth="1"/>
    <col min="9733" max="9733" width="7.7109375" style="146" customWidth="1"/>
    <col min="9734" max="9734" width="8.42578125" style="146" customWidth="1"/>
    <col min="9735" max="9735" width="12.5703125" style="146" customWidth="1"/>
    <col min="9736" max="9736" width="7.85546875" style="146" customWidth="1"/>
    <col min="9737" max="9737" width="45" style="146" customWidth="1"/>
    <col min="9738" max="9738" width="13.28515625" style="146" customWidth="1"/>
    <col min="9739" max="9739" width="11" style="146" customWidth="1"/>
    <col min="9740" max="9740" width="7.5703125" style="146" customWidth="1"/>
    <col min="9741" max="9741" width="8.85546875" style="146"/>
    <col min="9742" max="9742" width="8" style="146" customWidth="1"/>
    <col min="9743" max="9743" width="43.42578125" style="146" customWidth="1"/>
    <col min="9744" max="9744" width="13.7109375" style="146" customWidth="1"/>
    <col min="9745" max="9745" width="10.85546875" style="146" customWidth="1"/>
    <col min="9746" max="9746" width="7.5703125" style="146" customWidth="1"/>
    <col min="9747" max="9747" width="8.85546875" style="146"/>
    <col min="9748" max="9748" width="8.28515625" style="146" customWidth="1"/>
    <col min="9749" max="9749" width="48.28515625" style="146" customWidth="1"/>
    <col min="9750" max="9750" width="13.28515625" style="146" customWidth="1"/>
    <col min="9751" max="9751" width="10.28515625" style="146" customWidth="1"/>
    <col min="9752" max="9752" width="14.85546875" style="146" customWidth="1"/>
    <col min="9753" max="9753" width="11.5703125" style="146" customWidth="1"/>
    <col min="9754" max="9754" width="8.85546875" style="146"/>
    <col min="9755" max="9755" width="9.28515625" style="146" customWidth="1"/>
    <col min="9756" max="9756" width="59.7109375" style="146" customWidth="1"/>
    <col min="9757" max="9757" width="14.140625" style="146" customWidth="1"/>
    <col min="9758" max="9758" width="12.85546875" style="146" customWidth="1"/>
    <col min="9759" max="9759" width="17.28515625" style="146" customWidth="1"/>
    <col min="9760" max="9761" width="8.85546875" style="146"/>
    <col min="9762" max="9762" width="9.28515625" style="146" customWidth="1"/>
    <col min="9763" max="9763" width="59.7109375" style="146" customWidth="1"/>
    <col min="9764" max="9764" width="14.140625" style="146" customWidth="1"/>
    <col min="9765" max="9765" width="12.85546875" style="146" customWidth="1"/>
    <col min="9766" max="9766" width="17.28515625" style="146" customWidth="1"/>
    <col min="9767" max="9767" width="8.85546875" style="146"/>
    <col min="9768" max="9768" width="10.85546875" style="146" customWidth="1"/>
    <col min="9769" max="9769" width="8.85546875" style="146"/>
    <col min="9770" max="9770" width="15.42578125" style="146" customWidth="1"/>
    <col min="9771" max="9771" width="11.5703125" style="146" customWidth="1"/>
    <col min="9772" max="9773" width="8.85546875" style="146"/>
    <col min="9774" max="9774" width="9.28515625" style="146" customWidth="1"/>
    <col min="9775" max="9775" width="59.7109375" style="146" customWidth="1"/>
    <col min="9776" max="9776" width="14.140625" style="146" customWidth="1"/>
    <col min="9777" max="9777" width="12.85546875" style="146" customWidth="1"/>
    <col min="9778" max="9778" width="17.28515625" style="146" customWidth="1"/>
    <col min="9779" max="9779" width="8.85546875" style="146"/>
    <col min="9780" max="9780" width="10.85546875" style="146" customWidth="1"/>
    <col min="9781" max="9781" width="8.85546875" style="146"/>
    <col min="9782" max="9782" width="15.42578125" style="146" customWidth="1"/>
    <col min="9783" max="9783" width="11.5703125" style="146" customWidth="1"/>
    <col min="9784" max="9785" width="8.85546875" style="146"/>
    <col min="9786" max="9786" width="9.28515625" style="146" customWidth="1"/>
    <col min="9787" max="9787" width="59.7109375" style="146" customWidth="1"/>
    <col min="9788" max="9788" width="14.140625" style="146" customWidth="1"/>
    <col min="9789" max="9789" width="12.85546875" style="146" customWidth="1"/>
    <col min="9790" max="9790" width="17.28515625" style="146" customWidth="1"/>
    <col min="9791" max="9791" width="8.85546875" style="146"/>
    <col min="9792" max="9792" width="10.85546875" style="146" customWidth="1"/>
    <col min="9793" max="9793" width="8.85546875" style="146"/>
    <col min="9794" max="9794" width="15.42578125" style="146" customWidth="1"/>
    <col min="9795" max="9795" width="11.5703125" style="146" customWidth="1"/>
    <col min="9796" max="9800" width="8.85546875" style="146"/>
    <col min="9801" max="9801" width="68.5703125" style="146" customWidth="1"/>
    <col min="9802" max="9802" width="14" style="146" bestFit="1" customWidth="1"/>
    <col min="9803" max="9803" width="10.28515625" style="146" bestFit="1" customWidth="1"/>
    <col min="9804" max="9804" width="7.7109375" style="146" bestFit="1" customWidth="1"/>
    <col min="9805" max="9805" width="8.85546875" style="146"/>
    <col min="9806" max="9806" width="11" style="146" bestFit="1" customWidth="1"/>
    <col min="9807" max="9809" width="8.85546875" style="146"/>
    <col min="9810" max="9810" width="11.85546875" style="146" bestFit="1" customWidth="1"/>
    <col min="9811" max="9984" width="8.85546875" style="146"/>
    <col min="9985" max="9985" width="8.42578125" style="146" customWidth="1"/>
    <col min="9986" max="9986" width="45.5703125" style="146" customWidth="1"/>
    <col min="9987" max="9987" width="13.28515625" style="146" customWidth="1"/>
    <col min="9988" max="9988" width="10.5703125" style="146" customWidth="1"/>
    <col min="9989" max="9989" width="7.7109375" style="146" customWidth="1"/>
    <col min="9990" max="9990" width="8.42578125" style="146" customWidth="1"/>
    <col min="9991" max="9991" width="12.5703125" style="146" customWidth="1"/>
    <col min="9992" max="9992" width="7.85546875" style="146" customWidth="1"/>
    <col min="9993" max="9993" width="45" style="146" customWidth="1"/>
    <col min="9994" max="9994" width="13.28515625" style="146" customWidth="1"/>
    <col min="9995" max="9995" width="11" style="146" customWidth="1"/>
    <col min="9996" max="9996" width="7.5703125" style="146" customWidth="1"/>
    <col min="9997" max="9997" width="8.85546875" style="146"/>
    <col min="9998" max="9998" width="8" style="146" customWidth="1"/>
    <col min="9999" max="9999" width="43.42578125" style="146" customWidth="1"/>
    <col min="10000" max="10000" width="13.7109375" style="146" customWidth="1"/>
    <col min="10001" max="10001" width="10.85546875" style="146" customWidth="1"/>
    <col min="10002" max="10002" width="7.5703125" style="146" customWidth="1"/>
    <col min="10003" max="10003" width="8.85546875" style="146"/>
    <col min="10004" max="10004" width="8.28515625" style="146" customWidth="1"/>
    <col min="10005" max="10005" width="48.28515625" style="146" customWidth="1"/>
    <col min="10006" max="10006" width="13.28515625" style="146" customWidth="1"/>
    <col min="10007" max="10007" width="10.28515625" style="146" customWidth="1"/>
    <col min="10008" max="10008" width="14.85546875" style="146" customWidth="1"/>
    <col min="10009" max="10009" width="11.5703125" style="146" customWidth="1"/>
    <col min="10010" max="10010" width="8.85546875" style="146"/>
    <col min="10011" max="10011" width="9.28515625" style="146" customWidth="1"/>
    <col min="10012" max="10012" width="59.7109375" style="146" customWidth="1"/>
    <col min="10013" max="10013" width="14.140625" style="146" customWidth="1"/>
    <col min="10014" max="10014" width="12.85546875" style="146" customWidth="1"/>
    <col min="10015" max="10015" width="17.28515625" style="146" customWidth="1"/>
    <col min="10016" max="10017" width="8.85546875" style="146"/>
    <col min="10018" max="10018" width="9.28515625" style="146" customWidth="1"/>
    <col min="10019" max="10019" width="59.7109375" style="146" customWidth="1"/>
    <col min="10020" max="10020" width="14.140625" style="146" customWidth="1"/>
    <col min="10021" max="10021" width="12.85546875" style="146" customWidth="1"/>
    <col min="10022" max="10022" width="17.28515625" style="146" customWidth="1"/>
    <col min="10023" max="10023" width="8.85546875" style="146"/>
    <col min="10024" max="10024" width="10.85546875" style="146" customWidth="1"/>
    <col min="10025" max="10025" width="8.85546875" style="146"/>
    <col min="10026" max="10026" width="15.42578125" style="146" customWidth="1"/>
    <col min="10027" max="10027" width="11.5703125" style="146" customWidth="1"/>
    <col min="10028" max="10029" width="8.85546875" style="146"/>
    <col min="10030" max="10030" width="9.28515625" style="146" customWidth="1"/>
    <col min="10031" max="10031" width="59.7109375" style="146" customWidth="1"/>
    <col min="10032" max="10032" width="14.140625" style="146" customWidth="1"/>
    <col min="10033" max="10033" width="12.85546875" style="146" customWidth="1"/>
    <col min="10034" max="10034" width="17.28515625" style="146" customWidth="1"/>
    <col min="10035" max="10035" width="8.85546875" style="146"/>
    <col min="10036" max="10036" width="10.85546875" style="146" customWidth="1"/>
    <col min="10037" max="10037" width="8.85546875" style="146"/>
    <col min="10038" max="10038" width="15.42578125" style="146" customWidth="1"/>
    <col min="10039" max="10039" width="11.5703125" style="146" customWidth="1"/>
    <col min="10040" max="10041" width="8.85546875" style="146"/>
    <col min="10042" max="10042" width="9.28515625" style="146" customWidth="1"/>
    <col min="10043" max="10043" width="59.7109375" style="146" customWidth="1"/>
    <col min="10044" max="10044" width="14.140625" style="146" customWidth="1"/>
    <col min="10045" max="10045" width="12.85546875" style="146" customWidth="1"/>
    <col min="10046" max="10046" width="17.28515625" style="146" customWidth="1"/>
    <col min="10047" max="10047" width="8.85546875" style="146"/>
    <col min="10048" max="10048" width="10.85546875" style="146" customWidth="1"/>
    <col min="10049" max="10049" width="8.85546875" style="146"/>
    <col min="10050" max="10050" width="15.42578125" style="146" customWidth="1"/>
    <col min="10051" max="10051" width="11.5703125" style="146" customWidth="1"/>
    <col min="10052" max="10056" width="8.85546875" style="146"/>
    <col min="10057" max="10057" width="68.5703125" style="146" customWidth="1"/>
    <col min="10058" max="10058" width="14" style="146" bestFit="1" customWidth="1"/>
    <col min="10059" max="10059" width="10.28515625" style="146" bestFit="1" customWidth="1"/>
    <col min="10060" max="10060" width="7.7109375" style="146" bestFit="1" customWidth="1"/>
    <col min="10061" max="10061" width="8.85546875" style="146"/>
    <col min="10062" max="10062" width="11" style="146" bestFit="1" customWidth="1"/>
    <col min="10063" max="10065" width="8.85546875" style="146"/>
    <col min="10066" max="10066" width="11.85546875" style="146" bestFit="1" customWidth="1"/>
    <col min="10067" max="10240" width="8.85546875" style="146"/>
    <col min="10241" max="10241" width="8.42578125" style="146" customWidth="1"/>
    <col min="10242" max="10242" width="45.5703125" style="146" customWidth="1"/>
    <col min="10243" max="10243" width="13.28515625" style="146" customWidth="1"/>
    <col min="10244" max="10244" width="10.5703125" style="146" customWidth="1"/>
    <col min="10245" max="10245" width="7.7109375" style="146" customWidth="1"/>
    <col min="10246" max="10246" width="8.42578125" style="146" customWidth="1"/>
    <col min="10247" max="10247" width="12.5703125" style="146" customWidth="1"/>
    <col min="10248" max="10248" width="7.85546875" style="146" customWidth="1"/>
    <col min="10249" max="10249" width="45" style="146" customWidth="1"/>
    <col min="10250" max="10250" width="13.28515625" style="146" customWidth="1"/>
    <col min="10251" max="10251" width="11" style="146" customWidth="1"/>
    <col min="10252" max="10252" width="7.5703125" style="146" customWidth="1"/>
    <col min="10253" max="10253" width="8.85546875" style="146"/>
    <col min="10254" max="10254" width="8" style="146" customWidth="1"/>
    <col min="10255" max="10255" width="43.42578125" style="146" customWidth="1"/>
    <col min="10256" max="10256" width="13.7109375" style="146" customWidth="1"/>
    <col min="10257" max="10257" width="10.85546875" style="146" customWidth="1"/>
    <col min="10258" max="10258" width="7.5703125" style="146" customWidth="1"/>
    <col min="10259" max="10259" width="8.85546875" style="146"/>
    <col min="10260" max="10260" width="8.28515625" style="146" customWidth="1"/>
    <col min="10261" max="10261" width="48.28515625" style="146" customWidth="1"/>
    <col min="10262" max="10262" width="13.28515625" style="146" customWidth="1"/>
    <col min="10263" max="10263" width="10.28515625" style="146" customWidth="1"/>
    <col min="10264" max="10264" width="14.85546875" style="146" customWidth="1"/>
    <col min="10265" max="10265" width="11.5703125" style="146" customWidth="1"/>
    <col min="10266" max="10266" width="8.85546875" style="146"/>
    <col min="10267" max="10267" width="9.28515625" style="146" customWidth="1"/>
    <col min="10268" max="10268" width="59.7109375" style="146" customWidth="1"/>
    <col min="10269" max="10269" width="14.140625" style="146" customWidth="1"/>
    <col min="10270" max="10270" width="12.85546875" style="146" customWidth="1"/>
    <col min="10271" max="10271" width="17.28515625" style="146" customWidth="1"/>
    <col min="10272" max="10273" width="8.85546875" style="146"/>
    <col min="10274" max="10274" width="9.28515625" style="146" customWidth="1"/>
    <col min="10275" max="10275" width="59.7109375" style="146" customWidth="1"/>
    <col min="10276" max="10276" width="14.140625" style="146" customWidth="1"/>
    <col min="10277" max="10277" width="12.85546875" style="146" customWidth="1"/>
    <col min="10278" max="10278" width="17.28515625" style="146" customWidth="1"/>
    <col min="10279" max="10279" width="8.85546875" style="146"/>
    <col min="10280" max="10280" width="10.85546875" style="146" customWidth="1"/>
    <col min="10281" max="10281" width="8.85546875" style="146"/>
    <col min="10282" max="10282" width="15.42578125" style="146" customWidth="1"/>
    <col min="10283" max="10283" width="11.5703125" style="146" customWidth="1"/>
    <col min="10284" max="10285" width="8.85546875" style="146"/>
    <col min="10286" max="10286" width="9.28515625" style="146" customWidth="1"/>
    <col min="10287" max="10287" width="59.7109375" style="146" customWidth="1"/>
    <col min="10288" max="10288" width="14.140625" style="146" customWidth="1"/>
    <col min="10289" max="10289" width="12.85546875" style="146" customWidth="1"/>
    <col min="10290" max="10290" width="17.28515625" style="146" customWidth="1"/>
    <col min="10291" max="10291" width="8.85546875" style="146"/>
    <col min="10292" max="10292" width="10.85546875" style="146" customWidth="1"/>
    <col min="10293" max="10293" width="8.85546875" style="146"/>
    <col min="10294" max="10294" width="15.42578125" style="146" customWidth="1"/>
    <col min="10295" max="10295" width="11.5703125" style="146" customWidth="1"/>
    <col min="10296" max="10297" width="8.85546875" style="146"/>
    <col min="10298" max="10298" width="9.28515625" style="146" customWidth="1"/>
    <col min="10299" max="10299" width="59.7109375" style="146" customWidth="1"/>
    <col min="10300" max="10300" width="14.140625" style="146" customWidth="1"/>
    <col min="10301" max="10301" width="12.85546875" style="146" customWidth="1"/>
    <col min="10302" max="10302" width="17.28515625" style="146" customWidth="1"/>
    <col min="10303" max="10303" width="8.85546875" style="146"/>
    <col min="10304" max="10304" width="10.85546875" style="146" customWidth="1"/>
    <col min="10305" max="10305" width="8.85546875" style="146"/>
    <col min="10306" max="10306" width="15.42578125" style="146" customWidth="1"/>
    <col min="10307" max="10307" width="11.5703125" style="146" customWidth="1"/>
    <col min="10308" max="10312" width="8.85546875" style="146"/>
    <col min="10313" max="10313" width="68.5703125" style="146" customWidth="1"/>
    <col min="10314" max="10314" width="14" style="146" bestFit="1" customWidth="1"/>
    <col min="10315" max="10315" width="10.28515625" style="146" bestFit="1" customWidth="1"/>
    <col min="10316" max="10316" width="7.7109375" style="146" bestFit="1" customWidth="1"/>
    <col min="10317" max="10317" width="8.85546875" style="146"/>
    <col min="10318" max="10318" width="11" style="146" bestFit="1" customWidth="1"/>
    <col min="10319" max="10321" width="8.85546875" style="146"/>
    <col min="10322" max="10322" width="11.85546875" style="146" bestFit="1" customWidth="1"/>
    <col min="10323" max="10496" width="8.85546875" style="146"/>
    <col min="10497" max="10497" width="8.42578125" style="146" customWidth="1"/>
    <col min="10498" max="10498" width="45.5703125" style="146" customWidth="1"/>
    <col min="10499" max="10499" width="13.28515625" style="146" customWidth="1"/>
    <col min="10500" max="10500" width="10.5703125" style="146" customWidth="1"/>
    <col min="10501" max="10501" width="7.7109375" style="146" customWidth="1"/>
    <col min="10502" max="10502" width="8.42578125" style="146" customWidth="1"/>
    <col min="10503" max="10503" width="12.5703125" style="146" customWidth="1"/>
    <col min="10504" max="10504" width="7.85546875" style="146" customWidth="1"/>
    <col min="10505" max="10505" width="45" style="146" customWidth="1"/>
    <col min="10506" max="10506" width="13.28515625" style="146" customWidth="1"/>
    <col min="10507" max="10507" width="11" style="146" customWidth="1"/>
    <col min="10508" max="10508" width="7.5703125" style="146" customWidth="1"/>
    <col min="10509" max="10509" width="8.85546875" style="146"/>
    <col min="10510" max="10510" width="8" style="146" customWidth="1"/>
    <col min="10511" max="10511" width="43.42578125" style="146" customWidth="1"/>
    <col min="10512" max="10512" width="13.7109375" style="146" customWidth="1"/>
    <col min="10513" max="10513" width="10.85546875" style="146" customWidth="1"/>
    <col min="10514" max="10514" width="7.5703125" style="146" customWidth="1"/>
    <col min="10515" max="10515" width="8.85546875" style="146"/>
    <col min="10516" max="10516" width="8.28515625" style="146" customWidth="1"/>
    <col min="10517" max="10517" width="48.28515625" style="146" customWidth="1"/>
    <col min="10518" max="10518" width="13.28515625" style="146" customWidth="1"/>
    <col min="10519" max="10519" width="10.28515625" style="146" customWidth="1"/>
    <col min="10520" max="10520" width="14.85546875" style="146" customWidth="1"/>
    <col min="10521" max="10521" width="11.5703125" style="146" customWidth="1"/>
    <col min="10522" max="10522" width="8.85546875" style="146"/>
    <col min="10523" max="10523" width="9.28515625" style="146" customWidth="1"/>
    <col min="10524" max="10524" width="59.7109375" style="146" customWidth="1"/>
    <col min="10525" max="10525" width="14.140625" style="146" customWidth="1"/>
    <col min="10526" max="10526" width="12.85546875" style="146" customWidth="1"/>
    <col min="10527" max="10527" width="17.28515625" style="146" customWidth="1"/>
    <col min="10528" max="10529" width="8.85546875" style="146"/>
    <col min="10530" max="10530" width="9.28515625" style="146" customWidth="1"/>
    <col min="10531" max="10531" width="59.7109375" style="146" customWidth="1"/>
    <col min="10532" max="10532" width="14.140625" style="146" customWidth="1"/>
    <col min="10533" max="10533" width="12.85546875" style="146" customWidth="1"/>
    <col min="10534" max="10534" width="17.28515625" style="146" customWidth="1"/>
    <col min="10535" max="10535" width="8.85546875" style="146"/>
    <col min="10536" max="10536" width="10.85546875" style="146" customWidth="1"/>
    <col min="10537" max="10537" width="8.85546875" style="146"/>
    <col min="10538" max="10538" width="15.42578125" style="146" customWidth="1"/>
    <col min="10539" max="10539" width="11.5703125" style="146" customWidth="1"/>
    <col min="10540" max="10541" width="8.85546875" style="146"/>
    <col min="10542" max="10542" width="9.28515625" style="146" customWidth="1"/>
    <col min="10543" max="10543" width="59.7109375" style="146" customWidth="1"/>
    <col min="10544" max="10544" width="14.140625" style="146" customWidth="1"/>
    <col min="10545" max="10545" width="12.85546875" style="146" customWidth="1"/>
    <col min="10546" max="10546" width="17.28515625" style="146" customWidth="1"/>
    <col min="10547" max="10547" width="8.85546875" style="146"/>
    <col min="10548" max="10548" width="10.85546875" style="146" customWidth="1"/>
    <col min="10549" max="10549" width="8.85546875" style="146"/>
    <col min="10550" max="10550" width="15.42578125" style="146" customWidth="1"/>
    <col min="10551" max="10551" width="11.5703125" style="146" customWidth="1"/>
    <col min="10552" max="10553" width="8.85546875" style="146"/>
    <col min="10554" max="10554" width="9.28515625" style="146" customWidth="1"/>
    <col min="10555" max="10555" width="59.7109375" style="146" customWidth="1"/>
    <col min="10556" max="10556" width="14.140625" style="146" customWidth="1"/>
    <col min="10557" max="10557" width="12.85546875" style="146" customWidth="1"/>
    <col min="10558" max="10558" width="17.28515625" style="146" customWidth="1"/>
    <col min="10559" max="10559" width="8.85546875" style="146"/>
    <col min="10560" max="10560" width="10.85546875" style="146" customWidth="1"/>
    <col min="10561" max="10561" width="8.85546875" style="146"/>
    <col min="10562" max="10562" width="15.42578125" style="146" customWidth="1"/>
    <col min="10563" max="10563" width="11.5703125" style="146" customWidth="1"/>
    <col min="10564" max="10568" width="8.85546875" style="146"/>
    <col min="10569" max="10569" width="68.5703125" style="146" customWidth="1"/>
    <col min="10570" max="10570" width="14" style="146" bestFit="1" customWidth="1"/>
    <col min="10571" max="10571" width="10.28515625" style="146" bestFit="1" customWidth="1"/>
    <col min="10572" max="10572" width="7.7109375" style="146" bestFit="1" customWidth="1"/>
    <col min="10573" max="10573" width="8.85546875" style="146"/>
    <col min="10574" max="10574" width="11" style="146" bestFit="1" customWidth="1"/>
    <col min="10575" max="10577" width="8.85546875" style="146"/>
    <col min="10578" max="10578" width="11.85546875" style="146" bestFit="1" customWidth="1"/>
    <col min="10579" max="10752" width="8.85546875" style="146"/>
    <col min="10753" max="10753" width="8.42578125" style="146" customWidth="1"/>
    <col min="10754" max="10754" width="45.5703125" style="146" customWidth="1"/>
    <col min="10755" max="10755" width="13.28515625" style="146" customWidth="1"/>
    <col min="10756" max="10756" width="10.5703125" style="146" customWidth="1"/>
    <col min="10757" max="10757" width="7.7109375" style="146" customWidth="1"/>
    <col min="10758" max="10758" width="8.42578125" style="146" customWidth="1"/>
    <col min="10759" max="10759" width="12.5703125" style="146" customWidth="1"/>
    <col min="10760" max="10760" width="7.85546875" style="146" customWidth="1"/>
    <col min="10761" max="10761" width="45" style="146" customWidth="1"/>
    <col min="10762" max="10762" width="13.28515625" style="146" customWidth="1"/>
    <col min="10763" max="10763" width="11" style="146" customWidth="1"/>
    <col min="10764" max="10764" width="7.5703125" style="146" customWidth="1"/>
    <col min="10765" max="10765" width="8.85546875" style="146"/>
    <col min="10766" max="10766" width="8" style="146" customWidth="1"/>
    <col min="10767" max="10767" width="43.42578125" style="146" customWidth="1"/>
    <col min="10768" max="10768" width="13.7109375" style="146" customWidth="1"/>
    <col min="10769" max="10769" width="10.85546875" style="146" customWidth="1"/>
    <col min="10770" max="10770" width="7.5703125" style="146" customWidth="1"/>
    <col min="10771" max="10771" width="8.85546875" style="146"/>
    <col min="10772" max="10772" width="8.28515625" style="146" customWidth="1"/>
    <col min="10773" max="10773" width="48.28515625" style="146" customWidth="1"/>
    <col min="10774" max="10774" width="13.28515625" style="146" customWidth="1"/>
    <col min="10775" max="10775" width="10.28515625" style="146" customWidth="1"/>
    <col min="10776" max="10776" width="14.85546875" style="146" customWidth="1"/>
    <col min="10777" max="10777" width="11.5703125" style="146" customWidth="1"/>
    <col min="10778" max="10778" width="8.85546875" style="146"/>
    <col min="10779" max="10779" width="9.28515625" style="146" customWidth="1"/>
    <col min="10780" max="10780" width="59.7109375" style="146" customWidth="1"/>
    <col min="10781" max="10781" width="14.140625" style="146" customWidth="1"/>
    <col min="10782" max="10782" width="12.85546875" style="146" customWidth="1"/>
    <col min="10783" max="10783" width="17.28515625" style="146" customWidth="1"/>
    <col min="10784" max="10785" width="8.85546875" style="146"/>
    <col min="10786" max="10786" width="9.28515625" style="146" customWidth="1"/>
    <col min="10787" max="10787" width="59.7109375" style="146" customWidth="1"/>
    <col min="10788" max="10788" width="14.140625" style="146" customWidth="1"/>
    <col min="10789" max="10789" width="12.85546875" style="146" customWidth="1"/>
    <col min="10790" max="10790" width="17.28515625" style="146" customWidth="1"/>
    <col min="10791" max="10791" width="8.85546875" style="146"/>
    <col min="10792" max="10792" width="10.85546875" style="146" customWidth="1"/>
    <col min="10793" max="10793" width="8.85546875" style="146"/>
    <col min="10794" max="10794" width="15.42578125" style="146" customWidth="1"/>
    <col min="10795" max="10795" width="11.5703125" style="146" customWidth="1"/>
    <col min="10796" max="10797" width="8.85546875" style="146"/>
    <col min="10798" max="10798" width="9.28515625" style="146" customWidth="1"/>
    <col min="10799" max="10799" width="59.7109375" style="146" customWidth="1"/>
    <col min="10800" max="10800" width="14.140625" style="146" customWidth="1"/>
    <col min="10801" max="10801" width="12.85546875" style="146" customWidth="1"/>
    <col min="10802" max="10802" width="17.28515625" style="146" customWidth="1"/>
    <col min="10803" max="10803" width="8.85546875" style="146"/>
    <col min="10804" max="10804" width="10.85546875" style="146" customWidth="1"/>
    <col min="10805" max="10805" width="8.85546875" style="146"/>
    <col min="10806" max="10806" width="15.42578125" style="146" customWidth="1"/>
    <col min="10807" max="10807" width="11.5703125" style="146" customWidth="1"/>
    <col min="10808" max="10809" width="8.85546875" style="146"/>
    <col min="10810" max="10810" width="9.28515625" style="146" customWidth="1"/>
    <col min="10811" max="10811" width="59.7109375" style="146" customWidth="1"/>
    <col min="10812" max="10812" width="14.140625" style="146" customWidth="1"/>
    <col min="10813" max="10813" width="12.85546875" style="146" customWidth="1"/>
    <col min="10814" max="10814" width="17.28515625" style="146" customWidth="1"/>
    <col min="10815" max="10815" width="8.85546875" style="146"/>
    <col min="10816" max="10816" width="10.85546875" style="146" customWidth="1"/>
    <col min="10817" max="10817" width="8.85546875" style="146"/>
    <col min="10818" max="10818" width="15.42578125" style="146" customWidth="1"/>
    <col min="10819" max="10819" width="11.5703125" style="146" customWidth="1"/>
    <col min="10820" max="10824" width="8.85546875" style="146"/>
    <col min="10825" max="10825" width="68.5703125" style="146" customWidth="1"/>
    <col min="10826" max="10826" width="14" style="146" bestFit="1" customWidth="1"/>
    <col min="10827" max="10827" width="10.28515625" style="146" bestFit="1" customWidth="1"/>
    <col min="10828" max="10828" width="7.7109375" style="146" bestFit="1" customWidth="1"/>
    <col min="10829" max="10829" width="8.85546875" style="146"/>
    <col min="10830" max="10830" width="11" style="146" bestFit="1" customWidth="1"/>
    <col min="10831" max="10833" width="8.85546875" style="146"/>
    <col min="10834" max="10834" width="11.85546875" style="146" bestFit="1" customWidth="1"/>
    <col min="10835" max="11008" width="8.85546875" style="146"/>
    <col min="11009" max="11009" width="8.42578125" style="146" customWidth="1"/>
    <col min="11010" max="11010" width="45.5703125" style="146" customWidth="1"/>
    <col min="11011" max="11011" width="13.28515625" style="146" customWidth="1"/>
    <col min="11012" max="11012" width="10.5703125" style="146" customWidth="1"/>
    <col min="11013" max="11013" width="7.7109375" style="146" customWidth="1"/>
    <col min="11014" max="11014" width="8.42578125" style="146" customWidth="1"/>
    <col min="11015" max="11015" width="12.5703125" style="146" customWidth="1"/>
    <col min="11016" max="11016" width="7.85546875" style="146" customWidth="1"/>
    <col min="11017" max="11017" width="45" style="146" customWidth="1"/>
    <col min="11018" max="11018" width="13.28515625" style="146" customWidth="1"/>
    <col min="11019" max="11019" width="11" style="146" customWidth="1"/>
    <col min="11020" max="11020" width="7.5703125" style="146" customWidth="1"/>
    <col min="11021" max="11021" width="8.85546875" style="146"/>
    <col min="11022" max="11022" width="8" style="146" customWidth="1"/>
    <col min="11023" max="11023" width="43.42578125" style="146" customWidth="1"/>
    <col min="11024" max="11024" width="13.7109375" style="146" customWidth="1"/>
    <col min="11025" max="11025" width="10.85546875" style="146" customWidth="1"/>
    <col min="11026" max="11026" width="7.5703125" style="146" customWidth="1"/>
    <col min="11027" max="11027" width="8.85546875" style="146"/>
    <col min="11028" max="11028" width="8.28515625" style="146" customWidth="1"/>
    <col min="11029" max="11029" width="48.28515625" style="146" customWidth="1"/>
    <col min="11030" max="11030" width="13.28515625" style="146" customWidth="1"/>
    <col min="11031" max="11031" width="10.28515625" style="146" customWidth="1"/>
    <col min="11032" max="11032" width="14.85546875" style="146" customWidth="1"/>
    <col min="11033" max="11033" width="11.5703125" style="146" customWidth="1"/>
    <col min="11034" max="11034" width="8.85546875" style="146"/>
    <col min="11035" max="11035" width="9.28515625" style="146" customWidth="1"/>
    <col min="11036" max="11036" width="59.7109375" style="146" customWidth="1"/>
    <col min="11037" max="11037" width="14.140625" style="146" customWidth="1"/>
    <col min="11038" max="11038" width="12.85546875" style="146" customWidth="1"/>
    <col min="11039" max="11039" width="17.28515625" style="146" customWidth="1"/>
    <col min="11040" max="11041" width="8.85546875" style="146"/>
    <col min="11042" max="11042" width="9.28515625" style="146" customWidth="1"/>
    <col min="11043" max="11043" width="59.7109375" style="146" customWidth="1"/>
    <col min="11044" max="11044" width="14.140625" style="146" customWidth="1"/>
    <col min="11045" max="11045" width="12.85546875" style="146" customWidth="1"/>
    <col min="11046" max="11046" width="17.28515625" style="146" customWidth="1"/>
    <col min="11047" max="11047" width="8.85546875" style="146"/>
    <col min="11048" max="11048" width="10.85546875" style="146" customWidth="1"/>
    <col min="11049" max="11049" width="8.85546875" style="146"/>
    <col min="11050" max="11050" width="15.42578125" style="146" customWidth="1"/>
    <col min="11051" max="11051" width="11.5703125" style="146" customWidth="1"/>
    <col min="11052" max="11053" width="8.85546875" style="146"/>
    <col min="11054" max="11054" width="9.28515625" style="146" customWidth="1"/>
    <col min="11055" max="11055" width="59.7109375" style="146" customWidth="1"/>
    <col min="11056" max="11056" width="14.140625" style="146" customWidth="1"/>
    <col min="11057" max="11057" width="12.85546875" style="146" customWidth="1"/>
    <col min="11058" max="11058" width="17.28515625" style="146" customWidth="1"/>
    <col min="11059" max="11059" width="8.85546875" style="146"/>
    <col min="11060" max="11060" width="10.85546875" style="146" customWidth="1"/>
    <col min="11061" max="11061" width="8.85546875" style="146"/>
    <col min="11062" max="11062" width="15.42578125" style="146" customWidth="1"/>
    <col min="11063" max="11063" width="11.5703125" style="146" customWidth="1"/>
    <col min="11064" max="11065" width="8.85546875" style="146"/>
    <col min="11066" max="11066" width="9.28515625" style="146" customWidth="1"/>
    <col min="11067" max="11067" width="59.7109375" style="146" customWidth="1"/>
    <col min="11068" max="11068" width="14.140625" style="146" customWidth="1"/>
    <col min="11069" max="11069" width="12.85546875" style="146" customWidth="1"/>
    <col min="11070" max="11070" width="17.28515625" style="146" customWidth="1"/>
    <col min="11071" max="11071" width="8.85546875" style="146"/>
    <col min="11072" max="11072" width="10.85546875" style="146" customWidth="1"/>
    <col min="11073" max="11073" width="8.85546875" style="146"/>
    <col min="11074" max="11074" width="15.42578125" style="146" customWidth="1"/>
    <col min="11075" max="11075" width="11.5703125" style="146" customWidth="1"/>
    <col min="11076" max="11080" width="8.85546875" style="146"/>
    <col min="11081" max="11081" width="68.5703125" style="146" customWidth="1"/>
    <col min="11082" max="11082" width="14" style="146" bestFit="1" customWidth="1"/>
    <col min="11083" max="11083" width="10.28515625" style="146" bestFit="1" customWidth="1"/>
    <col min="11084" max="11084" width="7.7109375" style="146" bestFit="1" customWidth="1"/>
    <col min="11085" max="11085" width="8.85546875" style="146"/>
    <col min="11086" max="11086" width="11" style="146" bestFit="1" customWidth="1"/>
    <col min="11087" max="11089" width="8.85546875" style="146"/>
    <col min="11090" max="11090" width="11.85546875" style="146" bestFit="1" customWidth="1"/>
    <col min="11091" max="11264" width="8.85546875" style="146"/>
    <col min="11265" max="11265" width="8.42578125" style="146" customWidth="1"/>
    <col min="11266" max="11266" width="45.5703125" style="146" customWidth="1"/>
    <col min="11267" max="11267" width="13.28515625" style="146" customWidth="1"/>
    <col min="11268" max="11268" width="10.5703125" style="146" customWidth="1"/>
    <col min="11269" max="11269" width="7.7109375" style="146" customWidth="1"/>
    <col min="11270" max="11270" width="8.42578125" style="146" customWidth="1"/>
    <col min="11271" max="11271" width="12.5703125" style="146" customWidth="1"/>
    <col min="11272" max="11272" width="7.85546875" style="146" customWidth="1"/>
    <col min="11273" max="11273" width="45" style="146" customWidth="1"/>
    <col min="11274" max="11274" width="13.28515625" style="146" customWidth="1"/>
    <col min="11275" max="11275" width="11" style="146" customWidth="1"/>
    <col min="11276" max="11276" width="7.5703125" style="146" customWidth="1"/>
    <col min="11277" max="11277" width="8.85546875" style="146"/>
    <col min="11278" max="11278" width="8" style="146" customWidth="1"/>
    <col min="11279" max="11279" width="43.42578125" style="146" customWidth="1"/>
    <col min="11280" max="11280" width="13.7109375" style="146" customWidth="1"/>
    <col min="11281" max="11281" width="10.85546875" style="146" customWidth="1"/>
    <col min="11282" max="11282" width="7.5703125" style="146" customWidth="1"/>
    <col min="11283" max="11283" width="8.85546875" style="146"/>
    <col min="11284" max="11284" width="8.28515625" style="146" customWidth="1"/>
    <col min="11285" max="11285" width="48.28515625" style="146" customWidth="1"/>
    <col min="11286" max="11286" width="13.28515625" style="146" customWidth="1"/>
    <col min="11287" max="11287" width="10.28515625" style="146" customWidth="1"/>
    <col min="11288" max="11288" width="14.85546875" style="146" customWidth="1"/>
    <col min="11289" max="11289" width="11.5703125" style="146" customWidth="1"/>
    <col min="11290" max="11290" width="8.85546875" style="146"/>
    <col min="11291" max="11291" width="9.28515625" style="146" customWidth="1"/>
    <col min="11292" max="11292" width="59.7109375" style="146" customWidth="1"/>
    <col min="11293" max="11293" width="14.140625" style="146" customWidth="1"/>
    <col min="11294" max="11294" width="12.85546875" style="146" customWidth="1"/>
    <col min="11295" max="11295" width="17.28515625" style="146" customWidth="1"/>
    <col min="11296" max="11297" width="8.85546875" style="146"/>
    <col min="11298" max="11298" width="9.28515625" style="146" customWidth="1"/>
    <col min="11299" max="11299" width="59.7109375" style="146" customWidth="1"/>
    <col min="11300" max="11300" width="14.140625" style="146" customWidth="1"/>
    <col min="11301" max="11301" width="12.85546875" style="146" customWidth="1"/>
    <col min="11302" max="11302" width="17.28515625" style="146" customWidth="1"/>
    <col min="11303" max="11303" width="8.85546875" style="146"/>
    <col min="11304" max="11304" width="10.85546875" style="146" customWidth="1"/>
    <col min="11305" max="11305" width="8.85546875" style="146"/>
    <col min="11306" max="11306" width="15.42578125" style="146" customWidth="1"/>
    <col min="11307" max="11307" width="11.5703125" style="146" customWidth="1"/>
    <col min="11308" max="11309" width="8.85546875" style="146"/>
    <col min="11310" max="11310" width="9.28515625" style="146" customWidth="1"/>
    <col min="11311" max="11311" width="59.7109375" style="146" customWidth="1"/>
    <col min="11312" max="11312" width="14.140625" style="146" customWidth="1"/>
    <col min="11313" max="11313" width="12.85546875" style="146" customWidth="1"/>
    <col min="11314" max="11314" width="17.28515625" style="146" customWidth="1"/>
    <col min="11315" max="11315" width="8.85546875" style="146"/>
    <col min="11316" max="11316" width="10.85546875" style="146" customWidth="1"/>
    <col min="11317" max="11317" width="8.85546875" style="146"/>
    <col min="11318" max="11318" width="15.42578125" style="146" customWidth="1"/>
    <col min="11319" max="11319" width="11.5703125" style="146" customWidth="1"/>
    <col min="11320" max="11321" width="8.85546875" style="146"/>
    <col min="11322" max="11322" width="9.28515625" style="146" customWidth="1"/>
    <col min="11323" max="11323" width="59.7109375" style="146" customWidth="1"/>
    <col min="11324" max="11324" width="14.140625" style="146" customWidth="1"/>
    <col min="11325" max="11325" width="12.85546875" style="146" customWidth="1"/>
    <col min="11326" max="11326" width="17.28515625" style="146" customWidth="1"/>
    <col min="11327" max="11327" width="8.85546875" style="146"/>
    <col min="11328" max="11328" width="10.85546875" style="146" customWidth="1"/>
    <col min="11329" max="11329" width="8.85546875" style="146"/>
    <col min="11330" max="11330" width="15.42578125" style="146" customWidth="1"/>
    <col min="11331" max="11331" width="11.5703125" style="146" customWidth="1"/>
    <col min="11332" max="11336" width="8.85546875" style="146"/>
    <col min="11337" max="11337" width="68.5703125" style="146" customWidth="1"/>
    <col min="11338" max="11338" width="14" style="146" bestFit="1" customWidth="1"/>
    <col min="11339" max="11339" width="10.28515625" style="146" bestFit="1" customWidth="1"/>
    <col min="11340" max="11340" width="7.7109375" style="146" bestFit="1" customWidth="1"/>
    <col min="11341" max="11341" width="8.85546875" style="146"/>
    <col min="11342" max="11342" width="11" style="146" bestFit="1" customWidth="1"/>
    <col min="11343" max="11345" width="8.85546875" style="146"/>
    <col min="11346" max="11346" width="11.85546875" style="146" bestFit="1" customWidth="1"/>
    <col min="11347" max="11520" width="8.85546875" style="146"/>
    <col min="11521" max="11521" width="8.42578125" style="146" customWidth="1"/>
    <col min="11522" max="11522" width="45.5703125" style="146" customWidth="1"/>
    <col min="11523" max="11523" width="13.28515625" style="146" customWidth="1"/>
    <col min="11524" max="11524" width="10.5703125" style="146" customWidth="1"/>
    <col min="11525" max="11525" width="7.7109375" style="146" customWidth="1"/>
    <col min="11526" max="11526" width="8.42578125" style="146" customWidth="1"/>
    <col min="11527" max="11527" width="12.5703125" style="146" customWidth="1"/>
    <col min="11528" max="11528" width="7.85546875" style="146" customWidth="1"/>
    <col min="11529" max="11529" width="45" style="146" customWidth="1"/>
    <col min="11530" max="11530" width="13.28515625" style="146" customWidth="1"/>
    <col min="11531" max="11531" width="11" style="146" customWidth="1"/>
    <col min="11532" max="11532" width="7.5703125" style="146" customWidth="1"/>
    <col min="11533" max="11533" width="8.85546875" style="146"/>
    <col min="11534" max="11534" width="8" style="146" customWidth="1"/>
    <col min="11535" max="11535" width="43.42578125" style="146" customWidth="1"/>
    <col min="11536" max="11536" width="13.7109375" style="146" customWidth="1"/>
    <col min="11537" max="11537" width="10.85546875" style="146" customWidth="1"/>
    <col min="11538" max="11538" width="7.5703125" style="146" customWidth="1"/>
    <col min="11539" max="11539" width="8.85546875" style="146"/>
    <col min="11540" max="11540" width="8.28515625" style="146" customWidth="1"/>
    <col min="11541" max="11541" width="48.28515625" style="146" customWidth="1"/>
    <col min="11542" max="11542" width="13.28515625" style="146" customWidth="1"/>
    <col min="11543" max="11543" width="10.28515625" style="146" customWidth="1"/>
    <col min="11544" max="11544" width="14.85546875" style="146" customWidth="1"/>
    <col min="11545" max="11545" width="11.5703125" style="146" customWidth="1"/>
    <col min="11546" max="11546" width="8.85546875" style="146"/>
    <col min="11547" max="11547" width="9.28515625" style="146" customWidth="1"/>
    <col min="11548" max="11548" width="59.7109375" style="146" customWidth="1"/>
    <col min="11549" max="11549" width="14.140625" style="146" customWidth="1"/>
    <col min="11550" max="11550" width="12.85546875" style="146" customWidth="1"/>
    <col min="11551" max="11551" width="17.28515625" style="146" customWidth="1"/>
    <col min="11552" max="11553" width="8.85546875" style="146"/>
    <col min="11554" max="11554" width="9.28515625" style="146" customWidth="1"/>
    <col min="11555" max="11555" width="59.7109375" style="146" customWidth="1"/>
    <col min="11556" max="11556" width="14.140625" style="146" customWidth="1"/>
    <col min="11557" max="11557" width="12.85546875" style="146" customWidth="1"/>
    <col min="11558" max="11558" width="17.28515625" style="146" customWidth="1"/>
    <col min="11559" max="11559" width="8.85546875" style="146"/>
    <col min="11560" max="11560" width="10.85546875" style="146" customWidth="1"/>
    <col min="11561" max="11561" width="8.85546875" style="146"/>
    <col min="11562" max="11562" width="15.42578125" style="146" customWidth="1"/>
    <col min="11563" max="11563" width="11.5703125" style="146" customWidth="1"/>
    <col min="11564" max="11565" width="8.85546875" style="146"/>
    <col min="11566" max="11566" width="9.28515625" style="146" customWidth="1"/>
    <col min="11567" max="11567" width="59.7109375" style="146" customWidth="1"/>
    <col min="11568" max="11568" width="14.140625" style="146" customWidth="1"/>
    <col min="11569" max="11569" width="12.85546875" style="146" customWidth="1"/>
    <col min="11570" max="11570" width="17.28515625" style="146" customWidth="1"/>
    <col min="11571" max="11571" width="8.85546875" style="146"/>
    <col min="11572" max="11572" width="10.85546875" style="146" customWidth="1"/>
    <col min="11573" max="11573" width="8.85546875" style="146"/>
    <col min="11574" max="11574" width="15.42578125" style="146" customWidth="1"/>
    <col min="11575" max="11575" width="11.5703125" style="146" customWidth="1"/>
    <col min="11576" max="11577" width="8.85546875" style="146"/>
    <col min="11578" max="11578" width="9.28515625" style="146" customWidth="1"/>
    <col min="11579" max="11579" width="59.7109375" style="146" customWidth="1"/>
    <col min="11580" max="11580" width="14.140625" style="146" customWidth="1"/>
    <col min="11581" max="11581" width="12.85546875" style="146" customWidth="1"/>
    <col min="11582" max="11582" width="17.28515625" style="146" customWidth="1"/>
    <col min="11583" max="11583" width="8.85546875" style="146"/>
    <col min="11584" max="11584" width="10.85546875" style="146" customWidth="1"/>
    <col min="11585" max="11585" width="8.85546875" style="146"/>
    <col min="11586" max="11586" width="15.42578125" style="146" customWidth="1"/>
    <col min="11587" max="11587" width="11.5703125" style="146" customWidth="1"/>
    <col min="11588" max="11592" width="8.85546875" style="146"/>
    <col min="11593" max="11593" width="68.5703125" style="146" customWidth="1"/>
    <col min="11594" max="11594" width="14" style="146" bestFit="1" customWidth="1"/>
    <col min="11595" max="11595" width="10.28515625" style="146" bestFit="1" customWidth="1"/>
    <col min="11596" max="11596" width="7.7109375" style="146" bestFit="1" customWidth="1"/>
    <col min="11597" max="11597" width="8.85546875" style="146"/>
    <col min="11598" max="11598" width="11" style="146" bestFit="1" customWidth="1"/>
    <col min="11599" max="11601" width="8.85546875" style="146"/>
    <col min="11602" max="11602" width="11.85546875" style="146" bestFit="1" customWidth="1"/>
    <col min="11603" max="11776" width="8.85546875" style="146"/>
    <col min="11777" max="11777" width="8.42578125" style="146" customWidth="1"/>
    <col min="11778" max="11778" width="45.5703125" style="146" customWidth="1"/>
    <col min="11779" max="11779" width="13.28515625" style="146" customWidth="1"/>
    <col min="11780" max="11780" width="10.5703125" style="146" customWidth="1"/>
    <col min="11781" max="11781" width="7.7109375" style="146" customWidth="1"/>
    <col min="11782" max="11782" width="8.42578125" style="146" customWidth="1"/>
    <col min="11783" max="11783" width="12.5703125" style="146" customWidth="1"/>
    <col min="11784" max="11784" width="7.85546875" style="146" customWidth="1"/>
    <col min="11785" max="11785" width="45" style="146" customWidth="1"/>
    <col min="11786" max="11786" width="13.28515625" style="146" customWidth="1"/>
    <col min="11787" max="11787" width="11" style="146" customWidth="1"/>
    <col min="11788" max="11788" width="7.5703125" style="146" customWidth="1"/>
    <col min="11789" max="11789" width="8.85546875" style="146"/>
    <col min="11790" max="11790" width="8" style="146" customWidth="1"/>
    <col min="11791" max="11791" width="43.42578125" style="146" customWidth="1"/>
    <col min="11792" max="11792" width="13.7109375" style="146" customWidth="1"/>
    <col min="11793" max="11793" width="10.85546875" style="146" customWidth="1"/>
    <col min="11794" max="11794" width="7.5703125" style="146" customWidth="1"/>
    <col min="11795" max="11795" width="8.85546875" style="146"/>
    <col min="11796" max="11796" width="8.28515625" style="146" customWidth="1"/>
    <col min="11797" max="11797" width="48.28515625" style="146" customWidth="1"/>
    <col min="11798" max="11798" width="13.28515625" style="146" customWidth="1"/>
    <col min="11799" max="11799" width="10.28515625" style="146" customWidth="1"/>
    <col min="11800" max="11800" width="14.85546875" style="146" customWidth="1"/>
    <col min="11801" max="11801" width="11.5703125" style="146" customWidth="1"/>
    <col min="11802" max="11802" width="8.85546875" style="146"/>
    <col min="11803" max="11803" width="9.28515625" style="146" customWidth="1"/>
    <col min="11804" max="11804" width="59.7109375" style="146" customWidth="1"/>
    <col min="11805" max="11805" width="14.140625" style="146" customWidth="1"/>
    <col min="11806" max="11806" width="12.85546875" style="146" customWidth="1"/>
    <col min="11807" max="11807" width="17.28515625" style="146" customWidth="1"/>
    <col min="11808" max="11809" width="8.85546875" style="146"/>
    <col min="11810" max="11810" width="9.28515625" style="146" customWidth="1"/>
    <col min="11811" max="11811" width="59.7109375" style="146" customWidth="1"/>
    <col min="11812" max="11812" width="14.140625" style="146" customWidth="1"/>
    <col min="11813" max="11813" width="12.85546875" style="146" customWidth="1"/>
    <col min="11814" max="11814" width="17.28515625" style="146" customWidth="1"/>
    <col min="11815" max="11815" width="8.85546875" style="146"/>
    <col min="11816" max="11816" width="10.85546875" style="146" customWidth="1"/>
    <col min="11817" max="11817" width="8.85546875" style="146"/>
    <col min="11818" max="11818" width="15.42578125" style="146" customWidth="1"/>
    <col min="11819" max="11819" width="11.5703125" style="146" customWidth="1"/>
    <col min="11820" max="11821" width="8.85546875" style="146"/>
    <col min="11822" max="11822" width="9.28515625" style="146" customWidth="1"/>
    <col min="11823" max="11823" width="59.7109375" style="146" customWidth="1"/>
    <col min="11824" max="11824" width="14.140625" style="146" customWidth="1"/>
    <col min="11825" max="11825" width="12.85546875" style="146" customWidth="1"/>
    <col min="11826" max="11826" width="17.28515625" style="146" customWidth="1"/>
    <col min="11827" max="11827" width="8.85546875" style="146"/>
    <col min="11828" max="11828" width="10.85546875" style="146" customWidth="1"/>
    <col min="11829" max="11829" width="8.85546875" style="146"/>
    <col min="11830" max="11830" width="15.42578125" style="146" customWidth="1"/>
    <col min="11831" max="11831" width="11.5703125" style="146" customWidth="1"/>
    <col min="11832" max="11833" width="8.85546875" style="146"/>
    <col min="11834" max="11834" width="9.28515625" style="146" customWidth="1"/>
    <col min="11835" max="11835" width="59.7109375" style="146" customWidth="1"/>
    <col min="11836" max="11836" width="14.140625" style="146" customWidth="1"/>
    <col min="11837" max="11837" width="12.85546875" style="146" customWidth="1"/>
    <col min="11838" max="11838" width="17.28515625" style="146" customWidth="1"/>
    <col min="11839" max="11839" width="8.85546875" style="146"/>
    <col min="11840" max="11840" width="10.85546875" style="146" customWidth="1"/>
    <col min="11841" max="11841" width="8.85546875" style="146"/>
    <col min="11842" max="11842" width="15.42578125" style="146" customWidth="1"/>
    <col min="11843" max="11843" width="11.5703125" style="146" customWidth="1"/>
    <col min="11844" max="11848" width="8.85546875" style="146"/>
    <col min="11849" max="11849" width="68.5703125" style="146" customWidth="1"/>
    <col min="11850" max="11850" width="14" style="146" bestFit="1" customWidth="1"/>
    <col min="11851" max="11851" width="10.28515625" style="146" bestFit="1" customWidth="1"/>
    <col min="11852" max="11852" width="7.7109375" style="146" bestFit="1" customWidth="1"/>
    <col min="11853" max="11853" width="8.85546875" style="146"/>
    <col min="11854" max="11854" width="11" style="146" bestFit="1" customWidth="1"/>
    <col min="11855" max="11857" width="8.85546875" style="146"/>
    <col min="11858" max="11858" width="11.85546875" style="146" bestFit="1" customWidth="1"/>
    <col min="11859" max="12032" width="8.85546875" style="146"/>
    <col min="12033" max="12033" width="8.42578125" style="146" customWidth="1"/>
    <col min="12034" max="12034" width="45.5703125" style="146" customWidth="1"/>
    <col min="12035" max="12035" width="13.28515625" style="146" customWidth="1"/>
    <col min="12036" max="12036" width="10.5703125" style="146" customWidth="1"/>
    <col min="12037" max="12037" width="7.7109375" style="146" customWidth="1"/>
    <col min="12038" max="12038" width="8.42578125" style="146" customWidth="1"/>
    <col min="12039" max="12039" width="12.5703125" style="146" customWidth="1"/>
    <col min="12040" max="12040" width="7.85546875" style="146" customWidth="1"/>
    <col min="12041" max="12041" width="45" style="146" customWidth="1"/>
    <col min="12042" max="12042" width="13.28515625" style="146" customWidth="1"/>
    <col min="12043" max="12043" width="11" style="146" customWidth="1"/>
    <col min="12044" max="12044" width="7.5703125" style="146" customWidth="1"/>
    <col min="12045" max="12045" width="8.85546875" style="146"/>
    <col min="12046" max="12046" width="8" style="146" customWidth="1"/>
    <col min="12047" max="12047" width="43.42578125" style="146" customWidth="1"/>
    <col min="12048" max="12048" width="13.7109375" style="146" customWidth="1"/>
    <col min="12049" max="12049" width="10.85546875" style="146" customWidth="1"/>
    <col min="12050" max="12050" width="7.5703125" style="146" customWidth="1"/>
    <col min="12051" max="12051" width="8.85546875" style="146"/>
    <col min="12052" max="12052" width="8.28515625" style="146" customWidth="1"/>
    <col min="12053" max="12053" width="48.28515625" style="146" customWidth="1"/>
    <col min="12054" max="12054" width="13.28515625" style="146" customWidth="1"/>
    <col min="12055" max="12055" width="10.28515625" style="146" customWidth="1"/>
    <col min="12056" max="12056" width="14.85546875" style="146" customWidth="1"/>
    <col min="12057" max="12057" width="11.5703125" style="146" customWidth="1"/>
    <col min="12058" max="12058" width="8.85546875" style="146"/>
    <col min="12059" max="12059" width="9.28515625" style="146" customWidth="1"/>
    <col min="12060" max="12060" width="59.7109375" style="146" customWidth="1"/>
    <col min="12061" max="12061" width="14.140625" style="146" customWidth="1"/>
    <col min="12062" max="12062" width="12.85546875" style="146" customWidth="1"/>
    <col min="12063" max="12063" width="17.28515625" style="146" customWidth="1"/>
    <col min="12064" max="12065" width="8.85546875" style="146"/>
    <col min="12066" max="12066" width="9.28515625" style="146" customWidth="1"/>
    <col min="12067" max="12067" width="59.7109375" style="146" customWidth="1"/>
    <col min="12068" max="12068" width="14.140625" style="146" customWidth="1"/>
    <col min="12069" max="12069" width="12.85546875" style="146" customWidth="1"/>
    <col min="12070" max="12070" width="17.28515625" style="146" customWidth="1"/>
    <col min="12071" max="12071" width="8.85546875" style="146"/>
    <col min="12072" max="12072" width="10.85546875" style="146" customWidth="1"/>
    <col min="12073" max="12073" width="8.85546875" style="146"/>
    <col min="12074" max="12074" width="15.42578125" style="146" customWidth="1"/>
    <col min="12075" max="12075" width="11.5703125" style="146" customWidth="1"/>
    <col min="12076" max="12077" width="8.85546875" style="146"/>
    <col min="12078" max="12078" width="9.28515625" style="146" customWidth="1"/>
    <col min="12079" max="12079" width="59.7109375" style="146" customWidth="1"/>
    <col min="12080" max="12080" width="14.140625" style="146" customWidth="1"/>
    <col min="12081" max="12081" width="12.85546875" style="146" customWidth="1"/>
    <col min="12082" max="12082" width="17.28515625" style="146" customWidth="1"/>
    <col min="12083" max="12083" width="8.85546875" style="146"/>
    <col min="12084" max="12084" width="10.85546875" style="146" customWidth="1"/>
    <col min="12085" max="12085" width="8.85546875" style="146"/>
    <col min="12086" max="12086" width="15.42578125" style="146" customWidth="1"/>
    <col min="12087" max="12087" width="11.5703125" style="146" customWidth="1"/>
    <col min="12088" max="12089" width="8.85546875" style="146"/>
    <col min="12090" max="12090" width="9.28515625" style="146" customWidth="1"/>
    <col min="12091" max="12091" width="59.7109375" style="146" customWidth="1"/>
    <col min="12092" max="12092" width="14.140625" style="146" customWidth="1"/>
    <col min="12093" max="12093" width="12.85546875" style="146" customWidth="1"/>
    <col min="12094" max="12094" width="17.28515625" style="146" customWidth="1"/>
    <col min="12095" max="12095" width="8.85546875" style="146"/>
    <col min="12096" max="12096" width="10.85546875" style="146" customWidth="1"/>
    <col min="12097" max="12097" width="8.85546875" style="146"/>
    <col min="12098" max="12098" width="15.42578125" style="146" customWidth="1"/>
    <col min="12099" max="12099" width="11.5703125" style="146" customWidth="1"/>
    <col min="12100" max="12104" width="8.85546875" style="146"/>
    <col min="12105" max="12105" width="68.5703125" style="146" customWidth="1"/>
    <col min="12106" max="12106" width="14" style="146" bestFit="1" customWidth="1"/>
    <col min="12107" max="12107" width="10.28515625" style="146" bestFit="1" customWidth="1"/>
    <col min="12108" max="12108" width="7.7109375" style="146" bestFit="1" customWidth="1"/>
    <col min="12109" max="12109" width="8.85546875" style="146"/>
    <col min="12110" max="12110" width="11" style="146" bestFit="1" customWidth="1"/>
    <col min="12111" max="12113" width="8.85546875" style="146"/>
    <col min="12114" max="12114" width="11.85546875" style="146" bestFit="1" customWidth="1"/>
    <col min="12115" max="12288" width="8.85546875" style="146"/>
    <col min="12289" max="12289" width="8.42578125" style="146" customWidth="1"/>
    <col min="12290" max="12290" width="45.5703125" style="146" customWidth="1"/>
    <col min="12291" max="12291" width="13.28515625" style="146" customWidth="1"/>
    <col min="12292" max="12292" width="10.5703125" style="146" customWidth="1"/>
    <col min="12293" max="12293" width="7.7109375" style="146" customWidth="1"/>
    <col min="12294" max="12294" width="8.42578125" style="146" customWidth="1"/>
    <col min="12295" max="12295" width="12.5703125" style="146" customWidth="1"/>
    <col min="12296" max="12296" width="7.85546875" style="146" customWidth="1"/>
    <col min="12297" max="12297" width="45" style="146" customWidth="1"/>
    <col min="12298" max="12298" width="13.28515625" style="146" customWidth="1"/>
    <col min="12299" max="12299" width="11" style="146" customWidth="1"/>
    <col min="12300" max="12300" width="7.5703125" style="146" customWidth="1"/>
    <col min="12301" max="12301" width="8.85546875" style="146"/>
    <col min="12302" max="12302" width="8" style="146" customWidth="1"/>
    <col min="12303" max="12303" width="43.42578125" style="146" customWidth="1"/>
    <col min="12304" max="12304" width="13.7109375" style="146" customWidth="1"/>
    <col min="12305" max="12305" width="10.85546875" style="146" customWidth="1"/>
    <col min="12306" max="12306" width="7.5703125" style="146" customWidth="1"/>
    <col min="12307" max="12307" width="8.85546875" style="146"/>
    <col min="12308" max="12308" width="8.28515625" style="146" customWidth="1"/>
    <col min="12309" max="12309" width="48.28515625" style="146" customWidth="1"/>
    <col min="12310" max="12310" width="13.28515625" style="146" customWidth="1"/>
    <col min="12311" max="12311" width="10.28515625" style="146" customWidth="1"/>
    <col min="12312" max="12312" width="14.85546875" style="146" customWidth="1"/>
    <col min="12313" max="12313" width="11.5703125" style="146" customWidth="1"/>
    <col min="12314" max="12314" width="8.85546875" style="146"/>
    <col min="12315" max="12315" width="9.28515625" style="146" customWidth="1"/>
    <col min="12316" max="12316" width="59.7109375" style="146" customWidth="1"/>
    <col min="12317" max="12317" width="14.140625" style="146" customWidth="1"/>
    <col min="12318" max="12318" width="12.85546875" style="146" customWidth="1"/>
    <col min="12319" max="12319" width="17.28515625" style="146" customWidth="1"/>
    <col min="12320" max="12321" width="8.85546875" style="146"/>
    <col min="12322" max="12322" width="9.28515625" style="146" customWidth="1"/>
    <col min="12323" max="12323" width="59.7109375" style="146" customWidth="1"/>
    <col min="12324" max="12324" width="14.140625" style="146" customWidth="1"/>
    <col min="12325" max="12325" width="12.85546875" style="146" customWidth="1"/>
    <col min="12326" max="12326" width="17.28515625" style="146" customWidth="1"/>
    <col min="12327" max="12327" width="8.85546875" style="146"/>
    <col min="12328" max="12328" width="10.85546875" style="146" customWidth="1"/>
    <col min="12329" max="12329" width="8.85546875" style="146"/>
    <col min="12330" max="12330" width="15.42578125" style="146" customWidth="1"/>
    <col min="12331" max="12331" width="11.5703125" style="146" customWidth="1"/>
    <col min="12332" max="12333" width="8.85546875" style="146"/>
    <col min="12334" max="12334" width="9.28515625" style="146" customWidth="1"/>
    <col min="12335" max="12335" width="59.7109375" style="146" customWidth="1"/>
    <col min="12336" max="12336" width="14.140625" style="146" customWidth="1"/>
    <col min="12337" max="12337" width="12.85546875" style="146" customWidth="1"/>
    <col min="12338" max="12338" width="17.28515625" style="146" customWidth="1"/>
    <col min="12339" max="12339" width="8.85546875" style="146"/>
    <col min="12340" max="12340" width="10.85546875" style="146" customWidth="1"/>
    <col min="12341" max="12341" width="8.85546875" style="146"/>
    <col min="12342" max="12342" width="15.42578125" style="146" customWidth="1"/>
    <col min="12343" max="12343" width="11.5703125" style="146" customWidth="1"/>
    <col min="12344" max="12345" width="8.85546875" style="146"/>
    <col min="12346" max="12346" width="9.28515625" style="146" customWidth="1"/>
    <col min="12347" max="12347" width="59.7109375" style="146" customWidth="1"/>
    <col min="12348" max="12348" width="14.140625" style="146" customWidth="1"/>
    <col min="12349" max="12349" width="12.85546875" style="146" customWidth="1"/>
    <col min="12350" max="12350" width="17.28515625" style="146" customWidth="1"/>
    <col min="12351" max="12351" width="8.85546875" style="146"/>
    <col min="12352" max="12352" width="10.85546875" style="146" customWidth="1"/>
    <col min="12353" max="12353" width="8.85546875" style="146"/>
    <col min="12354" max="12354" width="15.42578125" style="146" customWidth="1"/>
    <col min="12355" max="12355" width="11.5703125" style="146" customWidth="1"/>
    <col min="12356" max="12360" width="8.85546875" style="146"/>
    <col min="12361" max="12361" width="68.5703125" style="146" customWidth="1"/>
    <col min="12362" max="12362" width="14" style="146" bestFit="1" customWidth="1"/>
    <col min="12363" max="12363" width="10.28515625" style="146" bestFit="1" customWidth="1"/>
    <col min="12364" max="12364" width="7.7109375" style="146" bestFit="1" customWidth="1"/>
    <col min="12365" max="12365" width="8.85546875" style="146"/>
    <col min="12366" max="12366" width="11" style="146" bestFit="1" customWidth="1"/>
    <col min="12367" max="12369" width="8.85546875" style="146"/>
    <col min="12370" max="12370" width="11.85546875" style="146" bestFit="1" customWidth="1"/>
    <col min="12371" max="12544" width="8.85546875" style="146"/>
    <col min="12545" max="12545" width="8.42578125" style="146" customWidth="1"/>
    <col min="12546" max="12546" width="45.5703125" style="146" customWidth="1"/>
    <col min="12547" max="12547" width="13.28515625" style="146" customWidth="1"/>
    <col min="12548" max="12548" width="10.5703125" style="146" customWidth="1"/>
    <col min="12549" max="12549" width="7.7109375" style="146" customWidth="1"/>
    <col min="12550" max="12550" width="8.42578125" style="146" customWidth="1"/>
    <col min="12551" max="12551" width="12.5703125" style="146" customWidth="1"/>
    <col min="12552" max="12552" width="7.85546875" style="146" customWidth="1"/>
    <col min="12553" max="12553" width="45" style="146" customWidth="1"/>
    <col min="12554" max="12554" width="13.28515625" style="146" customWidth="1"/>
    <col min="12555" max="12555" width="11" style="146" customWidth="1"/>
    <col min="12556" max="12556" width="7.5703125" style="146" customWidth="1"/>
    <col min="12557" max="12557" width="8.85546875" style="146"/>
    <col min="12558" max="12558" width="8" style="146" customWidth="1"/>
    <col min="12559" max="12559" width="43.42578125" style="146" customWidth="1"/>
    <col min="12560" max="12560" width="13.7109375" style="146" customWidth="1"/>
    <col min="12561" max="12561" width="10.85546875" style="146" customWidth="1"/>
    <col min="12562" max="12562" width="7.5703125" style="146" customWidth="1"/>
    <col min="12563" max="12563" width="8.85546875" style="146"/>
    <col min="12564" max="12564" width="8.28515625" style="146" customWidth="1"/>
    <col min="12565" max="12565" width="48.28515625" style="146" customWidth="1"/>
    <col min="12566" max="12566" width="13.28515625" style="146" customWidth="1"/>
    <col min="12567" max="12567" width="10.28515625" style="146" customWidth="1"/>
    <col min="12568" max="12568" width="14.85546875" style="146" customWidth="1"/>
    <col min="12569" max="12569" width="11.5703125" style="146" customWidth="1"/>
    <col min="12570" max="12570" width="8.85546875" style="146"/>
    <col min="12571" max="12571" width="9.28515625" style="146" customWidth="1"/>
    <col min="12572" max="12572" width="59.7109375" style="146" customWidth="1"/>
    <col min="12573" max="12573" width="14.140625" style="146" customWidth="1"/>
    <col min="12574" max="12574" width="12.85546875" style="146" customWidth="1"/>
    <col min="12575" max="12575" width="17.28515625" style="146" customWidth="1"/>
    <col min="12576" max="12577" width="8.85546875" style="146"/>
    <col min="12578" max="12578" width="9.28515625" style="146" customWidth="1"/>
    <col min="12579" max="12579" width="59.7109375" style="146" customWidth="1"/>
    <col min="12580" max="12580" width="14.140625" style="146" customWidth="1"/>
    <col min="12581" max="12581" width="12.85546875" style="146" customWidth="1"/>
    <col min="12582" max="12582" width="17.28515625" style="146" customWidth="1"/>
    <col min="12583" max="12583" width="8.85546875" style="146"/>
    <col min="12584" max="12584" width="10.85546875" style="146" customWidth="1"/>
    <col min="12585" max="12585" width="8.85546875" style="146"/>
    <col min="12586" max="12586" width="15.42578125" style="146" customWidth="1"/>
    <col min="12587" max="12587" width="11.5703125" style="146" customWidth="1"/>
    <col min="12588" max="12589" width="8.85546875" style="146"/>
    <col min="12590" max="12590" width="9.28515625" style="146" customWidth="1"/>
    <col min="12591" max="12591" width="59.7109375" style="146" customWidth="1"/>
    <col min="12592" max="12592" width="14.140625" style="146" customWidth="1"/>
    <col min="12593" max="12593" width="12.85546875" style="146" customWidth="1"/>
    <col min="12594" max="12594" width="17.28515625" style="146" customWidth="1"/>
    <col min="12595" max="12595" width="8.85546875" style="146"/>
    <col min="12596" max="12596" width="10.85546875" style="146" customWidth="1"/>
    <col min="12597" max="12597" width="8.85546875" style="146"/>
    <col min="12598" max="12598" width="15.42578125" style="146" customWidth="1"/>
    <col min="12599" max="12599" width="11.5703125" style="146" customWidth="1"/>
    <col min="12600" max="12601" width="8.85546875" style="146"/>
    <col min="12602" max="12602" width="9.28515625" style="146" customWidth="1"/>
    <col min="12603" max="12603" width="59.7109375" style="146" customWidth="1"/>
    <col min="12604" max="12604" width="14.140625" style="146" customWidth="1"/>
    <col min="12605" max="12605" width="12.85546875" style="146" customWidth="1"/>
    <col min="12606" max="12606" width="17.28515625" style="146" customWidth="1"/>
    <col min="12607" max="12607" width="8.85546875" style="146"/>
    <col min="12608" max="12608" width="10.85546875" style="146" customWidth="1"/>
    <col min="12609" max="12609" width="8.85546875" style="146"/>
    <col min="12610" max="12610" width="15.42578125" style="146" customWidth="1"/>
    <col min="12611" max="12611" width="11.5703125" style="146" customWidth="1"/>
    <col min="12612" max="12616" width="8.85546875" style="146"/>
    <col min="12617" max="12617" width="68.5703125" style="146" customWidth="1"/>
    <col min="12618" max="12618" width="14" style="146" bestFit="1" customWidth="1"/>
    <col min="12619" max="12619" width="10.28515625" style="146" bestFit="1" customWidth="1"/>
    <col min="12620" max="12620" width="7.7109375" style="146" bestFit="1" customWidth="1"/>
    <col min="12621" max="12621" width="8.85546875" style="146"/>
    <col min="12622" max="12622" width="11" style="146" bestFit="1" customWidth="1"/>
    <col min="12623" max="12625" width="8.85546875" style="146"/>
    <col min="12626" max="12626" width="11.85546875" style="146" bestFit="1" customWidth="1"/>
    <col min="12627" max="12800" width="8.85546875" style="146"/>
    <col min="12801" max="12801" width="8.42578125" style="146" customWidth="1"/>
    <col min="12802" max="12802" width="45.5703125" style="146" customWidth="1"/>
    <col min="12803" max="12803" width="13.28515625" style="146" customWidth="1"/>
    <col min="12804" max="12804" width="10.5703125" style="146" customWidth="1"/>
    <col min="12805" max="12805" width="7.7109375" style="146" customWidth="1"/>
    <col min="12806" max="12806" width="8.42578125" style="146" customWidth="1"/>
    <col min="12807" max="12807" width="12.5703125" style="146" customWidth="1"/>
    <col min="12808" max="12808" width="7.85546875" style="146" customWidth="1"/>
    <col min="12809" max="12809" width="45" style="146" customWidth="1"/>
    <col min="12810" max="12810" width="13.28515625" style="146" customWidth="1"/>
    <col min="12811" max="12811" width="11" style="146" customWidth="1"/>
    <col min="12812" max="12812" width="7.5703125" style="146" customWidth="1"/>
    <col min="12813" max="12813" width="8.85546875" style="146"/>
    <col min="12814" max="12814" width="8" style="146" customWidth="1"/>
    <col min="12815" max="12815" width="43.42578125" style="146" customWidth="1"/>
    <col min="12816" max="12816" width="13.7109375" style="146" customWidth="1"/>
    <col min="12817" max="12817" width="10.85546875" style="146" customWidth="1"/>
    <col min="12818" max="12818" width="7.5703125" style="146" customWidth="1"/>
    <col min="12819" max="12819" width="8.85546875" style="146"/>
    <col min="12820" max="12820" width="8.28515625" style="146" customWidth="1"/>
    <col min="12821" max="12821" width="48.28515625" style="146" customWidth="1"/>
    <col min="12822" max="12822" width="13.28515625" style="146" customWidth="1"/>
    <col min="12823" max="12823" width="10.28515625" style="146" customWidth="1"/>
    <col min="12824" max="12824" width="14.85546875" style="146" customWidth="1"/>
    <col min="12825" max="12825" width="11.5703125" style="146" customWidth="1"/>
    <col min="12826" max="12826" width="8.85546875" style="146"/>
    <col min="12827" max="12827" width="9.28515625" style="146" customWidth="1"/>
    <col min="12828" max="12828" width="59.7109375" style="146" customWidth="1"/>
    <col min="12829" max="12829" width="14.140625" style="146" customWidth="1"/>
    <col min="12830" max="12830" width="12.85546875" style="146" customWidth="1"/>
    <col min="12831" max="12831" width="17.28515625" style="146" customWidth="1"/>
    <col min="12832" max="12833" width="8.85546875" style="146"/>
    <col min="12834" max="12834" width="9.28515625" style="146" customWidth="1"/>
    <col min="12835" max="12835" width="59.7109375" style="146" customWidth="1"/>
    <col min="12836" max="12836" width="14.140625" style="146" customWidth="1"/>
    <col min="12837" max="12837" width="12.85546875" style="146" customWidth="1"/>
    <col min="12838" max="12838" width="17.28515625" style="146" customWidth="1"/>
    <col min="12839" max="12839" width="8.85546875" style="146"/>
    <col min="12840" max="12840" width="10.85546875" style="146" customWidth="1"/>
    <col min="12841" max="12841" width="8.85546875" style="146"/>
    <col min="12842" max="12842" width="15.42578125" style="146" customWidth="1"/>
    <col min="12843" max="12843" width="11.5703125" style="146" customWidth="1"/>
    <col min="12844" max="12845" width="8.85546875" style="146"/>
    <col min="12846" max="12846" width="9.28515625" style="146" customWidth="1"/>
    <col min="12847" max="12847" width="59.7109375" style="146" customWidth="1"/>
    <col min="12848" max="12848" width="14.140625" style="146" customWidth="1"/>
    <col min="12849" max="12849" width="12.85546875" style="146" customWidth="1"/>
    <col min="12850" max="12850" width="17.28515625" style="146" customWidth="1"/>
    <col min="12851" max="12851" width="8.85546875" style="146"/>
    <col min="12852" max="12852" width="10.85546875" style="146" customWidth="1"/>
    <col min="12853" max="12853" width="8.85546875" style="146"/>
    <col min="12854" max="12854" width="15.42578125" style="146" customWidth="1"/>
    <col min="12855" max="12855" width="11.5703125" style="146" customWidth="1"/>
    <col min="12856" max="12857" width="8.85546875" style="146"/>
    <col min="12858" max="12858" width="9.28515625" style="146" customWidth="1"/>
    <col min="12859" max="12859" width="59.7109375" style="146" customWidth="1"/>
    <col min="12860" max="12860" width="14.140625" style="146" customWidth="1"/>
    <col min="12861" max="12861" width="12.85546875" style="146" customWidth="1"/>
    <col min="12862" max="12862" width="17.28515625" style="146" customWidth="1"/>
    <col min="12863" max="12863" width="8.85546875" style="146"/>
    <col min="12864" max="12864" width="10.85546875" style="146" customWidth="1"/>
    <col min="12865" max="12865" width="8.85546875" style="146"/>
    <col min="12866" max="12866" width="15.42578125" style="146" customWidth="1"/>
    <col min="12867" max="12867" width="11.5703125" style="146" customWidth="1"/>
    <col min="12868" max="12872" width="8.85546875" style="146"/>
    <col min="12873" max="12873" width="68.5703125" style="146" customWidth="1"/>
    <col min="12874" max="12874" width="14" style="146" bestFit="1" customWidth="1"/>
    <col min="12875" max="12875" width="10.28515625" style="146" bestFit="1" customWidth="1"/>
    <col min="12876" max="12876" width="7.7109375" style="146" bestFit="1" customWidth="1"/>
    <col min="12877" max="12877" width="8.85546875" style="146"/>
    <col min="12878" max="12878" width="11" style="146" bestFit="1" customWidth="1"/>
    <col min="12879" max="12881" width="8.85546875" style="146"/>
    <col min="12882" max="12882" width="11.85546875" style="146" bestFit="1" customWidth="1"/>
    <col min="12883" max="13056" width="8.85546875" style="146"/>
    <col min="13057" max="13057" width="8.42578125" style="146" customWidth="1"/>
    <col min="13058" max="13058" width="45.5703125" style="146" customWidth="1"/>
    <col min="13059" max="13059" width="13.28515625" style="146" customWidth="1"/>
    <col min="13060" max="13060" width="10.5703125" style="146" customWidth="1"/>
    <col min="13061" max="13061" width="7.7109375" style="146" customWidth="1"/>
    <col min="13062" max="13062" width="8.42578125" style="146" customWidth="1"/>
    <col min="13063" max="13063" width="12.5703125" style="146" customWidth="1"/>
    <col min="13064" max="13064" width="7.85546875" style="146" customWidth="1"/>
    <col min="13065" max="13065" width="45" style="146" customWidth="1"/>
    <col min="13066" max="13066" width="13.28515625" style="146" customWidth="1"/>
    <col min="13067" max="13067" width="11" style="146" customWidth="1"/>
    <col min="13068" max="13068" width="7.5703125" style="146" customWidth="1"/>
    <col min="13069" max="13069" width="8.85546875" style="146"/>
    <col min="13070" max="13070" width="8" style="146" customWidth="1"/>
    <col min="13071" max="13071" width="43.42578125" style="146" customWidth="1"/>
    <col min="13072" max="13072" width="13.7109375" style="146" customWidth="1"/>
    <col min="13073" max="13073" width="10.85546875" style="146" customWidth="1"/>
    <col min="13074" max="13074" width="7.5703125" style="146" customWidth="1"/>
    <col min="13075" max="13075" width="8.85546875" style="146"/>
    <col min="13076" max="13076" width="8.28515625" style="146" customWidth="1"/>
    <col min="13077" max="13077" width="48.28515625" style="146" customWidth="1"/>
    <col min="13078" max="13078" width="13.28515625" style="146" customWidth="1"/>
    <col min="13079" max="13079" width="10.28515625" style="146" customWidth="1"/>
    <col min="13080" max="13080" width="14.85546875" style="146" customWidth="1"/>
    <col min="13081" max="13081" width="11.5703125" style="146" customWidth="1"/>
    <col min="13082" max="13082" width="8.85546875" style="146"/>
    <col min="13083" max="13083" width="9.28515625" style="146" customWidth="1"/>
    <col min="13084" max="13084" width="59.7109375" style="146" customWidth="1"/>
    <col min="13085" max="13085" width="14.140625" style="146" customWidth="1"/>
    <col min="13086" max="13086" width="12.85546875" style="146" customWidth="1"/>
    <col min="13087" max="13087" width="17.28515625" style="146" customWidth="1"/>
    <col min="13088" max="13089" width="8.85546875" style="146"/>
    <col min="13090" max="13090" width="9.28515625" style="146" customWidth="1"/>
    <col min="13091" max="13091" width="59.7109375" style="146" customWidth="1"/>
    <col min="13092" max="13092" width="14.140625" style="146" customWidth="1"/>
    <col min="13093" max="13093" width="12.85546875" style="146" customWidth="1"/>
    <col min="13094" max="13094" width="17.28515625" style="146" customWidth="1"/>
    <col min="13095" max="13095" width="8.85546875" style="146"/>
    <col min="13096" max="13096" width="10.85546875" style="146" customWidth="1"/>
    <col min="13097" max="13097" width="8.85546875" style="146"/>
    <col min="13098" max="13098" width="15.42578125" style="146" customWidth="1"/>
    <col min="13099" max="13099" width="11.5703125" style="146" customWidth="1"/>
    <col min="13100" max="13101" width="8.85546875" style="146"/>
    <col min="13102" max="13102" width="9.28515625" style="146" customWidth="1"/>
    <col min="13103" max="13103" width="59.7109375" style="146" customWidth="1"/>
    <col min="13104" max="13104" width="14.140625" style="146" customWidth="1"/>
    <col min="13105" max="13105" width="12.85546875" style="146" customWidth="1"/>
    <col min="13106" max="13106" width="17.28515625" style="146" customWidth="1"/>
    <col min="13107" max="13107" width="8.85546875" style="146"/>
    <col min="13108" max="13108" width="10.85546875" style="146" customWidth="1"/>
    <col min="13109" max="13109" width="8.85546875" style="146"/>
    <col min="13110" max="13110" width="15.42578125" style="146" customWidth="1"/>
    <col min="13111" max="13111" width="11.5703125" style="146" customWidth="1"/>
    <col min="13112" max="13113" width="8.85546875" style="146"/>
    <col min="13114" max="13114" width="9.28515625" style="146" customWidth="1"/>
    <col min="13115" max="13115" width="59.7109375" style="146" customWidth="1"/>
    <col min="13116" max="13116" width="14.140625" style="146" customWidth="1"/>
    <col min="13117" max="13117" width="12.85546875" style="146" customWidth="1"/>
    <col min="13118" max="13118" width="17.28515625" style="146" customWidth="1"/>
    <col min="13119" max="13119" width="8.85546875" style="146"/>
    <col min="13120" max="13120" width="10.85546875" style="146" customWidth="1"/>
    <col min="13121" max="13121" width="8.85546875" style="146"/>
    <col min="13122" max="13122" width="15.42578125" style="146" customWidth="1"/>
    <col min="13123" max="13123" width="11.5703125" style="146" customWidth="1"/>
    <col min="13124" max="13128" width="8.85546875" style="146"/>
    <col min="13129" max="13129" width="68.5703125" style="146" customWidth="1"/>
    <col min="13130" max="13130" width="14" style="146" bestFit="1" customWidth="1"/>
    <col min="13131" max="13131" width="10.28515625" style="146" bestFit="1" customWidth="1"/>
    <col min="13132" max="13132" width="7.7109375" style="146" bestFit="1" customWidth="1"/>
    <col min="13133" max="13133" width="8.85546875" style="146"/>
    <col min="13134" max="13134" width="11" style="146" bestFit="1" customWidth="1"/>
    <col min="13135" max="13137" width="8.85546875" style="146"/>
    <col min="13138" max="13138" width="11.85546875" style="146" bestFit="1" customWidth="1"/>
    <col min="13139" max="13312" width="8.85546875" style="146"/>
    <col min="13313" max="13313" width="8.42578125" style="146" customWidth="1"/>
    <col min="13314" max="13314" width="45.5703125" style="146" customWidth="1"/>
    <col min="13315" max="13315" width="13.28515625" style="146" customWidth="1"/>
    <col min="13316" max="13316" width="10.5703125" style="146" customWidth="1"/>
    <col min="13317" max="13317" width="7.7109375" style="146" customWidth="1"/>
    <col min="13318" max="13318" width="8.42578125" style="146" customWidth="1"/>
    <col min="13319" max="13319" width="12.5703125" style="146" customWidth="1"/>
    <col min="13320" max="13320" width="7.85546875" style="146" customWidth="1"/>
    <col min="13321" max="13321" width="45" style="146" customWidth="1"/>
    <col min="13322" max="13322" width="13.28515625" style="146" customWidth="1"/>
    <col min="13323" max="13323" width="11" style="146" customWidth="1"/>
    <col min="13324" max="13324" width="7.5703125" style="146" customWidth="1"/>
    <col min="13325" max="13325" width="8.85546875" style="146"/>
    <col min="13326" max="13326" width="8" style="146" customWidth="1"/>
    <col min="13327" max="13327" width="43.42578125" style="146" customWidth="1"/>
    <col min="13328" max="13328" width="13.7109375" style="146" customWidth="1"/>
    <col min="13329" max="13329" width="10.85546875" style="146" customWidth="1"/>
    <col min="13330" max="13330" width="7.5703125" style="146" customWidth="1"/>
    <col min="13331" max="13331" width="8.85546875" style="146"/>
    <col min="13332" max="13332" width="8.28515625" style="146" customWidth="1"/>
    <col min="13333" max="13333" width="48.28515625" style="146" customWidth="1"/>
    <col min="13334" max="13334" width="13.28515625" style="146" customWidth="1"/>
    <col min="13335" max="13335" width="10.28515625" style="146" customWidth="1"/>
    <col min="13336" max="13336" width="14.85546875" style="146" customWidth="1"/>
    <col min="13337" max="13337" width="11.5703125" style="146" customWidth="1"/>
    <col min="13338" max="13338" width="8.85546875" style="146"/>
    <col min="13339" max="13339" width="9.28515625" style="146" customWidth="1"/>
    <col min="13340" max="13340" width="59.7109375" style="146" customWidth="1"/>
    <col min="13341" max="13341" width="14.140625" style="146" customWidth="1"/>
    <col min="13342" max="13342" width="12.85546875" style="146" customWidth="1"/>
    <col min="13343" max="13343" width="17.28515625" style="146" customWidth="1"/>
    <col min="13344" max="13345" width="8.85546875" style="146"/>
    <col min="13346" max="13346" width="9.28515625" style="146" customWidth="1"/>
    <col min="13347" max="13347" width="59.7109375" style="146" customWidth="1"/>
    <col min="13348" max="13348" width="14.140625" style="146" customWidth="1"/>
    <col min="13349" max="13349" width="12.85546875" style="146" customWidth="1"/>
    <col min="13350" max="13350" width="17.28515625" style="146" customWidth="1"/>
    <col min="13351" max="13351" width="8.85546875" style="146"/>
    <col min="13352" max="13352" width="10.85546875" style="146" customWidth="1"/>
    <col min="13353" max="13353" width="8.85546875" style="146"/>
    <col min="13354" max="13354" width="15.42578125" style="146" customWidth="1"/>
    <col min="13355" max="13355" width="11.5703125" style="146" customWidth="1"/>
    <col min="13356" max="13357" width="8.85546875" style="146"/>
    <col min="13358" max="13358" width="9.28515625" style="146" customWidth="1"/>
    <col min="13359" max="13359" width="59.7109375" style="146" customWidth="1"/>
    <col min="13360" max="13360" width="14.140625" style="146" customWidth="1"/>
    <col min="13361" max="13361" width="12.85546875" style="146" customWidth="1"/>
    <col min="13362" max="13362" width="17.28515625" style="146" customWidth="1"/>
    <col min="13363" max="13363" width="8.85546875" style="146"/>
    <col min="13364" max="13364" width="10.85546875" style="146" customWidth="1"/>
    <col min="13365" max="13365" width="8.85546875" style="146"/>
    <col min="13366" max="13366" width="15.42578125" style="146" customWidth="1"/>
    <col min="13367" max="13367" width="11.5703125" style="146" customWidth="1"/>
    <col min="13368" max="13369" width="8.85546875" style="146"/>
    <col min="13370" max="13370" width="9.28515625" style="146" customWidth="1"/>
    <col min="13371" max="13371" width="59.7109375" style="146" customWidth="1"/>
    <col min="13372" max="13372" width="14.140625" style="146" customWidth="1"/>
    <col min="13373" max="13373" width="12.85546875" style="146" customWidth="1"/>
    <col min="13374" max="13374" width="17.28515625" style="146" customWidth="1"/>
    <col min="13375" max="13375" width="8.85546875" style="146"/>
    <col min="13376" max="13376" width="10.85546875" style="146" customWidth="1"/>
    <col min="13377" max="13377" width="8.85546875" style="146"/>
    <col min="13378" max="13378" width="15.42578125" style="146" customWidth="1"/>
    <col min="13379" max="13379" width="11.5703125" style="146" customWidth="1"/>
    <col min="13380" max="13384" width="8.85546875" style="146"/>
    <col min="13385" max="13385" width="68.5703125" style="146" customWidth="1"/>
    <col min="13386" max="13386" width="14" style="146" bestFit="1" customWidth="1"/>
    <col min="13387" max="13387" width="10.28515625" style="146" bestFit="1" customWidth="1"/>
    <col min="13388" max="13388" width="7.7109375" style="146" bestFit="1" customWidth="1"/>
    <col min="13389" max="13389" width="8.85546875" style="146"/>
    <col min="13390" max="13390" width="11" style="146" bestFit="1" customWidth="1"/>
    <col min="13391" max="13393" width="8.85546875" style="146"/>
    <col min="13394" max="13394" width="11.85546875" style="146" bestFit="1" customWidth="1"/>
    <col min="13395" max="13568" width="8.85546875" style="146"/>
    <col min="13569" max="13569" width="8.42578125" style="146" customWidth="1"/>
    <col min="13570" max="13570" width="45.5703125" style="146" customWidth="1"/>
    <col min="13571" max="13571" width="13.28515625" style="146" customWidth="1"/>
    <col min="13572" max="13572" width="10.5703125" style="146" customWidth="1"/>
    <col min="13573" max="13573" width="7.7109375" style="146" customWidth="1"/>
    <col min="13574" max="13574" width="8.42578125" style="146" customWidth="1"/>
    <col min="13575" max="13575" width="12.5703125" style="146" customWidth="1"/>
    <col min="13576" max="13576" width="7.85546875" style="146" customWidth="1"/>
    <col min="13577" max="13577" width="45" style="146" customWidth="1"/>
    <col min="13578" max="13578" width="13.28515625" style="146" customWidth="1"/>
    <col min="13579" max="13579" width="11" style="146" customWidth="1"/>
    <col min="13580" max="13580" width="7.5703125" style="146" customWidth="1"/>
    <col min="13581" max="13581" width="8.85546875" style="146"/>
    <col min="13582" max="13582" width="8" style="146" customWidth="1"/>
    <col min="13583" max="13583" width="43.42578125" style="146" customWidth="1"/>
    <col min="13584" max="13584" width="13.7109375" style="146" customWidth="1"/>
    <col min="13585" max="13585" width="10.85546875" style="146" customWidth="1"/>
    <col min="13586" max="13586" width="7.5703125" style="146" customWidth="1"/>
    <col min="13587" max="13587" width="8.85546875" style="146"/>
    <col min="13588" max="13588" width="8.28515625" style="146" customWidth="1"/>
    <col min="13589" max="13589" width="48.28515625" style="146" customWidth="1"/>
    <col min="13590" max="13590" width="13.28515625" style="146" customWidth="1"/>
    <col min="13591" max="13591" width="10.28515625" style="146" customWidth="1"/>
    <col min="13592" max="13592" width="14.85546875" style="146" customWidth="1"/>
    <col min="13593" max="13593" width="11.5703125" style="146" customWidth="1"/>
    <col min="13594" max="13594" width="8.85546875" style="146"/>
    <col min="13595" max="13595" width="9.28515625" style="146" customWidth="1"/>
    <col min="13596" max="13596" width="59.7109375" style="146" customWidth="1"/>
    <col min="13597" max="13597" width="14.140625" style="146" customWidth="1"/>
    <col min="13598" max="13598" width="12.85546875" style="146" customWidth="1"/>
    <col min="13599" max="13599" width="17.28515625" style="146" customWidth="1"/>
    <col min="13600" max="13601" width="8.85546875" style="146"/>
    <col min="13602" max="13602" width="9.28515625" style="146" customWidth="1"/>
    <col min="13603" max="13603" width="59.7109375" style="146" customWidth="1"/>
    <col min="13604" max="13604" width="14.140625" style="146" customWidth="1"/>
    <col min="13605" max="13605" width="12.85546875" style="146" customWidth="1"/>
    <col min="13606" max="13606" width="17.28515625" style="146" customWidth="1"/>
    <col min="13607" max="13607" width="8.85546875" style="146"/>
    <col min="13608" max="13608" width="10.85546875" style="146" customWidth="1"/>
    <col min="13609" max="13609" width="8.85546875" style="146"/>
    <col min="13610" max="13610" width="15.42578125" style="146" customWidth="1"/>
    <col min="13611" max="13611" width="11.5703125" style="146" customWidth="1"/>
    <col min="13612" max="13613" width="8.85546875" style="146"/>
    <col min="13614" max="13614" width="9.28515625" style="146" customWidth="1"/>
    <col min="13615" max="13615" width="59.7109375" style="146" customWidth="1"/>
    <col min="13616" max="13616" width="14.140625" style="146" customWidth="1"/>
    <col min="13617" max="13617" width="12.85546875" style="146" customWidth="1"/>
    <col min="13618" max="13618" width="17.28515625" style="146" customWidth="1"/>
    <col min="13619" max="13619" width="8.85546875" style="146"/>
    <col min="13620" max="13620" width="10.85546875" style="146" customWidth="1"/>
    <col min="13621" max="13621" width="8.85546875" style="146"/>
    <col min="13622" max="13622" width="15.42578125" style="146" customWidth="1"/>
    <col min="13623" max="13623" width="11.5703125" style="146" customWidth="1"/>
    <col min="13624" max="13625" width="8.85546875" style="146"/>
    <col min="13626" max="13626" width="9.28515625" style="146" customWidth="1"/>
    <col min="13627" max="13627" width="59.7109375" style="146" customWidth="1"/>
    <col min="13628" max="13628" width="14.140625" style="146" customWidth="1"/>
    <col min="13629" max="13629" width="12.85546875" style="146" customWidth="1"/>
    <col min="13630" max="13630" width="17.28515625" style="146" customWidth="1"/>
    <col min="13631" max="13631" width="8.85546875" style="146"/>
    <col min="13632" max="13632" width="10.85546875" style="146" customWidth="1"/>
    <col min="13633" max="13633" width="8.85546875" style="146"/>
    <col min="13634" max="13634" width="15.42578125" style="146" customWidth="1"/>
    <col min="13635" max="13635" width="11.5703125" style="146" customWidth="1"/>
    <col min="13636" max="13640" width="8.85546875" style="146"/>
    <col min="13641" max="13641" width="68.5703125" style="146" customWidth="1"/>
    <col min="13642" max="13642" width="14" style="146" bestFit="1" customWidth="1"/>
    <col min="13643" max="13643" width="10.28515625" style="146" bestFit="1" customWidth="1"/>
    <col min="13644" max="13644" width="7.7109375" style="146" bestFit="1" customWidth="1"/>
    <col min="13645" max="13645" width="8.85546875" style="146"/>
    <col min="13646" max="13646" width="11" style="146" bestFit="1" customWidth="1"/>
    <col min="13647" max="13649" width="8.85546875" style="146"/>
    <col min="13650" max="13650" width="11.85546875" style="146" bestFit="1" customWidth="1"/>
    <col min="13651" max="13824" width="8.85546875" style="146"/>
    <col min="13825" max="13825" width="8.42578125" style="146" customWidth="1"/>
    <col min="13826" max="13826" width="45.5703125" style="146" customWidth="1"/>
    <col min="13827" max="13827" width="13.28515625" style="146" customWidth="1"/>
    <col min="13828" max="13828" width="10.5703125" style="146" customWidth="1"/>
    <col min="13829" max="13829" width="7.7109375" style="146" customWidth="1"/>
    <col min="13830" max="13830" width="8.42578125" style="146" customWidth="1"/>
    <col min="13831" max="13831" width="12.5703125" style="146" customWidth="1"/>
    <col min="13832" max="13832" width="7.85546875" style="146" customWidth="1"/>
    <col min="13833" max="13833" width="45" style="146" customWidth="1"/>
    <col min="13834" max="13834" width="13.28515625" style="146" customWidth="1"/>
    <col min="13835" max="13835" width="11" style="146" customWidth="1"/>
    <col min="13836" max="13836" width="7.5703125" style="146" customWidth="1"/>
    <col min="13837" max="13837" width="8.85546875" style="146"/>
    <col min="13838" max="13838" width="8" style="146" customWidth="1"/>
    <col min="13839" max="13839" width="43.42578125" style="146" customWidth="1"/>
    <col min="13840" max="13840" width="13.7109375" style="146" customWidth="1"/>
    <col min="13841" max="13841" width="10.85546875" style="146" customWidth="1"/>
    <col min="13842" max="13842" width="7.5703125" style="146" customWidth="1"/>
    <col min="13843" max="13843" width="8.85546875" style="146"/>
    <col min="13844" max="13844" width="8.28515625" style="146" customWidth="1"/>
    <col min="13845" max="13845" width="48.28515625" style="146" customWidth="1"/>
    <col min="13846" max="13846" width="13.28515625" style="146" customWidth="1"/>
    <col min="13847" max="13847" width="10.28515625" style="146" customWidth="1"/>
    <col min="13848" max="13848" width="14.85546875" style="146" customWidth="1"/>
    <col min="13849" max="13849" width="11.5703125" style="146" customWidth="1"/>
    <col min="13850" max="13850" width="8.85546875" style="146"/>
    <col min="13851" max="13851" width="9.28515625" style="146" customWidth="1"/>
    <col min="13852" max="13852" width="59.7109375" style="146" customWidth="1"/>
    <col min="13853" max="13853" width="14.140625" style="146" customWidth="1"/>
    <col min="13854" max="13854" width="12.85546875" style="146" customWidth="1"/>
    <col min="13855" max="13855" width="17.28515625" style="146" customWidth="1"/>
    <col min="13856" max="13857" width="8.85546875" style="146"/>
    <col min="13858" max="13858" width="9.28515625" style="146" customWidth="1"/>
    <col min="13859" max="13859" width="59.7109375" style="146" customWidth="1"/>
    <col min="13860" max="13860" width="14.140625" style="146" customWidth="1"/>
    <col min="13861" max="13861" width="12.85546875" style="146" customWidth="1"/>
    <col min="13862" max="13862" width="17.28515625" style="146" customWidth="1"/>
    <col min="13863" max="13863" width="8.85546875" style="146"/>
    <col min="13864" max="13864" width="10.85546875" style="146" customWidth="1"/>
    <col min="13865" max="13865" width="8.85546875" style="146"/>
    <col min="13866" max="13866" width="15.42578125" style="146" customWidth="1"/>
    <col min="13867" max="13867" width="11.5703125" style="146" customWidth="1"/>
    <col min="13868" max="13869" width="8.85546875" style="146"/>
    <col min="13870" max="13870" width="9.28515625" style="146" customWidth="1"/>
    <col min="13871" max="13871" width="59.7109375" style="146" customWidth="1"/>
    <col min="13872" max="13872" width="14.140625" style="146" customWidth="1"/>
    <col min="13873" max="13873" width="12.85546875" style="146" customWidth="1"/>
    <col min="13874" max="13874" width="17.28515625" style="146" customWidth="1"/>
    <col min="13875" max="13875" width="8.85546875" style="146"/>
    <col min="13876" max="13876" width="10.85546875" style="146" customWidth="1"/>
    <col min="13877" max="13877" width="8.85546875" style="146"/>
    <col min="13878" max="13878" width="15.42578125" style="146" customWidth="1"/>
    <col min="13879" max="13879" width="11.5703125" style="146" customWidth="1"/>
    <col min="13880" max="13881" width="8.85546875" style="146"/>
    <col min="13882" max="13882" width="9.28515625" style="146" customWidth="1"/>
    <col min="13883" max="13883" width="59.7109375" style="146" customWidth="1"/>
    <col min="13884" max="13884" width="14.140625" style="146" customWidth="1"/>
    <col min="13885" max="13885" width="12.85546875" style="146" customWidth="1"/>
    <col min="13886" max="13886" width="17.28515625" style="146" customWidth="1"/>
    <col min="13887" max="13887" width="8.85546875" style="146"/>
    <col min="13888" max="13888" width="10.85546875" style="146" customWidth="1"/>
    <col min="13889" max="13889" width="8.85546875" style="146"/>
    <col min="13890" max="13890" width="15.42578125" style="146" customWidth="1"/>
    <col min="13891" max="13891" width="11.5703125" style="146" customWidth="1"/>
    <col min="13892" max="13896" width="8.85546875" style="146"/>
    <col min="13897" max="13897" width="68.5703125" style="146" customWidth="1"/>
    <col min="13898" max="13898" width="14" style="146" bestFit="1" customWidth="1"/>
    <col min="13899" max="13899" width="10.28515625" style="146" bestFit="1" customWidth="1"/>
    <col min="13900" max="13900" width="7.7109375" style="146" bestFit="1" customWidth="1"/>
    <col min="13901" max="13901" width="8.85546875" style="146"/>
    <col min="13902" max="13902" width="11" style="146" bestFit="1" customWidth="1"/>
    <col min="13903" max="13905" width="8.85546875" style="146"/>
    <col min="13906" max="13906" width="11.85546875" style="146" bestFit="1" customWidth="1"/>
    <col min="13907" max="14080" width="8.85546875" style="146"/>
    <col min="14081" max="14081" width="8.42578125" style="146" customWidth="1"/>
    <col min="14082" max="14082" width="45.5703125" style="146" customWidth="1"/>
    <col min="14083" max="14083" width="13.28515625" style="146" customWidth="1"/>
    <col min="14084" max="14084" width="10.5703125" style="146" customWidth="1"/>
    <col min="14085" max="14085" width="7.7109375" style="146" customWidth="1"/>
    <col min="14086" max="14086" width="8.42578125" style="146" customWidth="1"/>
    <col min="14087" max="14087" width="12.5703125" style="146" customWidth="1"/>
    <col min="14088" max="14088" width="7.85546875" style="146" customWidth="1"/>
    <col min="14089" max="14089" width="45" style="146" customWidth="1"/>
    <col min="14090" max="14090" width="13.28515625" style="146" customWidth="1"/>
    <col min="14091" max="14091" width="11" style="146" customWidth="1"/>
    <col min="14092" max="14092" width="7.5703125" style="146" customWidth="1"/>
    <col min="14093" max="14093" width="8.85546875" style="146"/>
    <col min="14094" max="14094" width="8" style="146" customWidth="1"/>
    <col min="14095" max="14095" width="43.42578125" style="146" customWidth="1"/>
    <col min="14096" max="14096" width="13.7109375" style="146" customWidth="1"/>
    <col min="14097" max="14097" width="10.85546875" style="146" customWidth="1"/>
    <col min="14098" max="14098" width="7.5703125" style="146" customWidth="1"/>
    <col min="14099" max="14099" width="8.85546875" style="146"/>
    <col min="14100" max="14100" width="8.28515625" style="146" customWidth="1"/>
    <col min="14101" max="14101" width="48.28515625" style="146" customWidth="1"/>
    <col min="14102" max="14102" width="13.28515625" style="146" customWidth="1"/>
    <col min="14103" max="14103" width="10.28515625" style="146" customWidth="1"/>
    <col min="14104" max="14104" width="14.85546875" style="146" customWidth="1"/>
    <col min="14105" max="14105" width="11.5703125" style="146" customWidth="1"/>
    <col min="14106" max="14106" width="8.85546875" style="146"/>
    <col min="14107" max="14107" width="9.28515625" style="146" customWidth="1"/>
    <col min="14108" max="14108" width="59.7109375" style="146" customWidth="1"/>
    <col min="14109" max="14109" width="14.140625" style="146" customWidth="1"/>
    <col min="14110" max="14110" width="12.85546875" style="146" customWidth="1"/>
    <col min="14111" max="14111" width="17.28515625" style="146" customWidth="1"/>
    <col min="14112" max="14113" width="8.85546875" style="146"/>
    <col min="14114" max="14114" width="9.28515625" style="146" customWidth="1"/>
    <col min="14115" max="14115" width="59.7109375" style="146" customWidth="1"/>
    <col min="14116" max="14116" width="14.140625" style="146" customWidth="1"/>
    <col min="14117" max="14117" width="12.85546875" style="146" customWidth="1"/>
    <col min="14118" max="14118" width="17.28515625" style="146" customWidth="1"/>
    <col min="14119" max="14119" width="8.85546875" style="146"/>
    <col min="14120" max="14120" width="10.85546875" style="146" customWidth="1"/>
    <col min="14121" max="14121" width="8.85546875" style="146"/>
    <col min="14122" max="14122" width="15.42578125" style="146" customWidth="1"/>
    <col min="14123" max="14123" width="11.5703125" style="146" customWidth="1"/>
    <col min="14124" max="14125" width="8.85546875" style="146"/>
    <col min="14126" max="14126" width="9.28515625" style="146" customWidth="1"/>
    <col min="14127" max="14127" width="59.7109375" style="146" customWidth="1"/>
    <col min="14128" max="14128" width="14.140625" style="146" customWidth="1"/>
    <col min="14129" max="14129" width="12.85546875" style="146" customWidth="1"/>
    <col min="14130" max="14130" width="17.28515625" style="146" customWidth="1"/>
    <col min="14131" max="14131" width="8.85546875" style="146"/>
    <col min="14132" max="14132" width="10.85546875" style="146" customWidth="1"/>
    <col min="14133" max="14133" width="8.85546875" style="146"/>
    <col min="14134" max="14134" width="15.42578125" style="146" customWidth="1"/>
    <col min="14135" max="14135" width="11.5703125" style="146" customWidth="1"/>
    <col min="14136" max="14137" width="8.85546875" style="146"/>
    <col min="14138" max="14138" width="9.28515625" style="146" customWidth="1"/>
    <col min="14139" max="14139" width="59.7109375" style="146" customWidth="1"/>
    <col min="14140" max="14140" width="14.140625" style="146" customWidth="1"/>
    <col min="14141" max="14141" width="12.85546875" style="146" customWidth="1"/>
    <col min="14142" max="14142" width="17.28515625" style="146" customWidth="1"/>
    <col min="14143" max="14143" width="8.85546875" style="146"/>
    <col min="14144" max="14144" width="10.85546875" style="146" customWidth="1"/>
    <col min="14145" max="14145" width="8.85546875" style="146"/>
    <col min="14146" max="14146" width="15.42578125" style="146" customWidth="1"/>
    <col min="14147" max="14147" width="11.5703125" style="146" customWidth="1"/>
    <col min="14148" max="14152" width="8.85546875" style="146"/>
    <col min="14153" max="14153" width="68.5703125" style="146" customWidth="1"/>
    <col min="14154" max="14154" width="14" style="146" bestFit="1" customWidth="1"/>
    <col min="14155" max="14155" width="10.28515625" style="146" bestFit="1" customWidth="1"/>
    <col min="14156" max="14156" width="7.7109375" style="146" bestFit="1" customWidth="1"/>
    <col min="14157" max="14157" width="8.85546875" style="146"/>
    <col min="14158" max="14158" width="11" style="146" bestFit="1" customWidth="1"/>
    <col min="14159" max="14161" width="8.85546875" style="146"/>
    <col min="14162" max="14162" width="11.85546875" style="146" bestFit="1" customWidth="1"/>
    <col min="14163" max="14336" width="8.85546875" style="146"/>
    <col min="14337" max="14337" width="8.42578125" style="146" customWidth="1"/>
    <col min="14338" max="14338" width="45.5703125" style="146" customWidth="1"/>
    <col min="14339" max="14339" width="13.28515625" style="146" customWidth="1"/>
    <col min="14340" max="14340" width="10.5703125" style="146" customWidth="1"/>
    <col min="14341" max="14341" width="7.7109375" style="146" customWidth="1"/>
    <col min="14342" max="14342" width="8.42578125" style="146" customWidth="1"/>
    <col min="14343" max="14343" width="12.5703125" style="146" customWidth="1"/>
    <col min="14344" max="14344" width="7.85546875" style="146" customWidth="1"/>
    <col min="14345" max="14345" width="45" style="146" customWidth="1"/>
    <col min="14346" max="14346" width="13.28515625" style="146" customWidth="1"/>
    <col min="14347" max="14347" width="11" style="146" customWidth="1"/>
    <col min="14348" max="14348" width="7.5703125" style="146" customWidth="1"/>
    <col min="14349" max="14349" width="8.85546875" style="146"/>
    <col min="14350" max="14350" width="8" style="146" customWidth="1"/>
    <col min="14351" max="14351" width="43.42578125" style="146" customWidth="1"/>
    <col min="14352" max="14352" width="13.7109375" style="146" customWidth="1"/>
    <col min="14353" max="14353" width="10.85546875" style="146" customWidth="1"/>
    <col min="14354" max="14354" width="7.5703125" style="146" customWidth="1"/>
    <col min="14355" max="14355" width="8.85546875" style="146"/>
    <col min="14356" max="14356" width="8.28515625" style="146" customWidth="1"/>
    <col min="14357" max="14357" width="48.28515625" style="146" customWidth="1"/>
    <col min="14358" max="14358" width="13.28515625" style="146" customWidth="1"/>
    <col min="14359" max="14359" width="10.28515625" style="146" customWidth="1"/>
    <col min="14360" max="14360" width="14.85546875" style="146" customWidth="1"/>
    <col min="14361" max="14361" width="11.5703125" style="146" customWidth="1"/>
    <col min="14362" max="14362" width="8.85546875" style="146"/>
    <col min="14363" max="14363" width="9.28515625" style="146" customWidth="1"/>
    <col min="14364" max="14364" width="59.7109375" style="146" customWidth="1"/>
    <col min="14365" max="14365" width="14.140625" style="146" customWidth="1"/>
    <col min="14366" max="14366" width="12.85546875" style="146" customWidth="1"/>
    <col min="14367" max="14367" width="17.28515625" style="146" customWidth="1"/>
    <col min="14368" max="14369" width="8.85546875" style="146"/>
    <col min="14370" max="14370" width="9.28515625" style="146" customWidth="1"/>
    <col min="14371" max="14371" width="59.7109375" style="146" customWidth="1"/>
    <col min="14372" max="14372" width="14.140625" style="146" customWidth="1"/>
    <col min="14373" max="14373" width="12.85546875" style="146" customWidth="1"/>
    <col min="14374" max="14374" width="17.28515625" style="146" customWidth="1"/>
    <col min="14375" max="14375" width="8.85546875" style="146"/>
    <col min="14376" max="14376" width="10.85546875" style="146" customWidth="1"/>
    <col min="14377" max="14377" width="8.85546875" style="146"/>
    <col min="14378" max="14378" width="15.42578125" style="146" customWidth="1"/>
    <col min="14379" max="14379" width="11.5703125" style="146" customWidth="1"/>
    <col min="14380" max="14381" width="8.85546875" style="146"/>
    <col min="14382" max="14382" width="9.28515625" style="146" customWidth="1"/>
    <col min="14383" max="14383" width="59.7109375" style="146" customWidth="1"/>
    <col min="14384" max="14384" width="14.140625" style="146" customWidth="1"/>
    <col min="14385" max="14385" width="12.85546875" style="146" customWidth="1"/>
    <col min="14386" max="14386" width="17.28515625" style="146" customWidth="1"/>
    <col min="14387" max="14387" width="8.85546875" style="146"/>
    <col min="14388" max="14388" width="10.85546875" style="146" customWidth="1"/>
    <col min="14389" max="14389" width="8.85546875" style="146"/>
    <col min="14390" max="14390" width="15.42578125" style="146" customWidth="1"/>
    <col min="14391" max="14391" width="11.5703125" style="146" customWidth="1"/>
    <col min="14392" max="14393" width="8.85546875" style="146"/>
    <col min="14394" max="14394" width="9.28515625" style="146" customWidth="1"/>
    <col min="14395" max="14395" width="59.7109375" style="146" customWidth="1"/>
    <col min="14396" max="14396" width="14.140625" style="146" customWidth="1"/>
    <col min="14397" max="14397" width="12.85546875" style="146" customWidth="1"/>
    <col min="14398" max="14398" width="17.28515625" style="146" customWidth="1"/>
    <col min="14399" max="14399" width="8.85546875" style="146"/>
    <col min="14400" max="14400" width="10.85546875" style="146" customWidth="1"/>
    <col min="14401" max="14401" width="8.85546875" style="146"/>
    <col min="14402" max="14402" width="15.42578125" style="146" customWidth="1"/>
    <col min="14403" max="14403" width="11.5703125" style="146" customWidth="1"/>
    <col min="14404" max="14408" width="8.85546875" style="146"/>
    <col min="14409" max="14409" width="68.5703125" style="146" customWidth="1"/>
    <col min="14410" max="14410" width="14" style="146" bestFit="1" customWidth="1"/>
    <col min="14411" max="14411" width="10.28515625" style="146" bestFit="1" customWidth="1"/>
    <col min="14412" max="14412" width="7.7109375" style="146" bestFit="1" customWidth="1"/>
    <col min="14413" max="14413" width="8.85546875" style="146"/>
    <col min="14414" max="14414" width="11" style="146" bestFit="1" customWidth="1"/>
    <col min="14415" max="14417" width="8.85546875" style="146"/>
    <col min="14418" max="14418" width="11.85546875" style="146" bestFit="1" customWidth="1"/>
    <col min="14419" max="14592" width="8.85546875" style="146"/>
    <col min="14593" max="14593" width="8.42578125" style="146" customWidth="1"/>
    <col min="14594" max="14594" width="45.5703125" style="146" customWidth="1"/>
    <col min="14595" max="14595" width="13.28515625" style="146" customWidth="1"/>
    <col min="14596" max="14596" width="10.5703125" style="146" customWidth="1"/>
    <col min="14597" max="14597" width="7.7109375" style="146" customWidth="1"/>
    <col min="14598" max="14598" width="8.42578125" style="146" customWidth="1"/>
    <col min="14599" max="14599" width="12.5703125" style="146" customWidth="1"/>
    <col min="14600" max="14600" width="7.85546875" style="146" customWidth="1"/>
    <col min="14601" max="14601" width="45" style="146" customWidth="1"/>
    <col min="14602" max="14602" width="13.28515625" style="146" customWidth="1"/>
    <col min="14603" max="14603" width="11" style="146" customWidth="1"/>
    <col min="14604" max="14604" width="7.5703125" style="146" customWidth="1"/>
    <col min="14605" max="14605" width="8.85546875" style="146"/>
    <col min="14606" max="14606" width="8" style="146" customWidth="1"/>
    <col min="14607" max="14607" width="43.42578125" style="146" customWidth="1"/>
    <col min="14608" max="14608" width="13.7109375" style="146" customWidth="1"/>
    <col min="14609" max="14609" width="10.85546875" style="146" customWidth="1"/>
    <col min="14610" max="14610" width="7.5703125" style="146" customWidth="1"/>
    <col min="14611" max="14611" width="8.85546875" style="146"/>
    <col min="14612" max="14612" width="8.28515625" style="146" customWidth="1"/>
    <col min="14613" max="14613" width="48.28515625" style="146" customWidth="1"/>
    <col min="14614" max="14614" width="13.28515625" style="146" customWidth="1"/>
    <col min="14615" max="14615" width="10.28515625" style="146" customWidth="1"/>
    <col min="14616" max="14616" width="14.85546875" style="146" customWidth="1"/>
    <col min="14617" max="14617" width="11.5703125" style="146" customWidth="1"/>
    <col min="14618" max="14618" width="8.85546875" style="146"/>
    <col min="14619" max="14619" width="9.28515625" style="146" customWidth="1"/>
    <col min="14620" max="14620" width="59.7109375" style="146" customWidth="1"/>
    <col min="14621" max="14621" width="14.140625" style="146" customWidth="1"/>
    <col min="14622" max="14622" width="12.85546875" style="146" customWidth="1"/>
    <col min="14623" max="14623" width="17.28515625" style="146" customWidth="1"/>
    <col min="14624" max="14625" width="8.85546875" style="146"/>
    <col min="14626" max="14626" width="9.28515625" style="146" customWidth="1"/>
    <col min="14627" max="14627" width="59.7109375" style="146" customWidth="1"/>
    <col min="14628" max="14628" width="14.140625" style="146" customWidth="1"/>
    <col min="14629" max="14629" width="12.85546875" style="146" customWidth="1"/>
    <col min="14630" max="14630" width="17.28515625" style="146" customWidth="1"/>
    <col min="14631" max="14631" width="8.85546875" style="146"/>
    <col min="14632" max="14632" width="10.85546875" style="146" customWidth="1"/>
    <col min="14633" max="14633" width="8.85546875" style="146"/>
    <col min="14634" max="14634" width="15.42578125" style="146" customWidth="1"/>
    <col min="14635" max="14635" width="11.5703125" style="146" customWidth="1"/>
    <col min="14636" max="14637" width="8.85546875" style="146"/>
    <col min="14638" max="14638" width="9.28515625" style="146" customWidth="1"/>
    <col min="14639" max="14639" width="59.7109375" style="146" customWidth="1"/>
    <col min="14640" max="14640" width="14.140625" style="146" customWidth="1"/>
    <col min="14641" max="14641" width="12.85546875" style="146" customWidth="1"/>
    <col min="14642" max="14642" width="17.28515625" style="146" customWidth="1"/>
    <col min="14643" max="14643" width="8.85546875" style="146"/>
    <col min="14644" max="14644" width="10.85546875" style="146" customWidth="1"/>
    <col min="14645" max="14645" width="8.85546875" style="146"/>
    <col min="14646" max="14646" width="15.42578125" style="146" customWidth="1"/>
    <col min="14647" max="14647" width="11.5703125" style="146" customWidth="1"/>
    <col min="14648" max="14649" width="8.85546875" style="146"/>
    <col min="14650" max="14650" width="9.28515625" style="146" customWidth="1"/>
    <col min="14651" max="14651" width="59.7109375" style="146" customWidth="1"/>
    <col min="14652" max="14652" width="14.140625" style="146" customWidth="1"/>
    <col min="14653" max="14653" width="12.85546875" style="146" customWidth="1"/>
    <col min="14654" max="14654" width="17.28515625" style="146" customWidth="1"/>
    <col min="14655" max="14655" width="8.85546875" style="146"/>
    <col min="14656" max="14656" width="10.85546875" style="146" customWidth="1"/>
    <col min="14657" max="14657" width="8.85546875" style="146"/>
    <col min="14658" max="14658" width="15.42578125" style="146" customWidth="1"/>
    <col min="14659" max="14659" width="11.5703125" style="146" customWidth="1"/>
    <col min="14660" max="14664" width="8.85546875" style="146"/>
    <col min="14665" max="14665" width="68.5703125" style="146" customWidth="1"/>
    <col min="14666" max="14666" width="14" style="146" bestFit="1" customWidth="1"/>
    <col min="14667" max="14667" width="10.28515625" style="146" bestFit="1" customWidth="1"/>
    <col min="14668" max="14668" width="7.7109375" style="146" bestFit="1" customWidth="1"/>
    <col min="14669" max="14669" width="8.85546875" style="146"/>
    <col min="14670" max="14670" width="11" style="146" bestFit="1" customWidth="1"/>
    <col min="14671" max="14673" width="8.85546875" style="146"/>
    <col min="14674" max="14674" width="11.85546875" style="146" bestFit="1" customWidth="1"/>
    <col min="14675" max="14848" width="8.85546875" style="146"/>
    <col min="14849" max="14849" width="8.42578125" style="146" customWidth="1"/>
    <col min="14850" max="14850" width="45.5703125" style="146" customWidth="1"/>
    <col min="14851" max="14851" width="13.28515625" style="146" customWidth="1"/>
    <col min="14852" max="14852" width="10.5703125" style="146" customWidth="1"/>
    <col min="14853" max="14853" width="7.7109375" style="146" customWidth="1"/>
    <col min="14854" max="14854" width="8.42578125" style="146" customWidth="1"/>
    <col min="14855" max="14855" width="12.5703125" style="146" customWidth="1"/>
    <col min="14856" max="14856" width="7.85546875" style="146" customWidth="1"/>
    <col min="14857" max="14857" width="45" style="146" customWidth="1"/>
    <col min="14858" max="14858" width="13.28515625" style="146" customWidth="1"/>
    <col min="14859" max="14859" width="11" style="146" customWidth="1"/>
    <col min="14860" max="14860" width="7.5703125" style="146" customWidth="1"/>
    <col min="14861" max="14861" width="8.85546875" style="146"/>
    <col min="14862" max="14862" width="8" style="146" customWidth="1"/>
    <col min="14863" max="14863" width="43.42578125" style="146" customWidth="1"/>
    <col min="14864" max="14864" width="13.7109375" style="146" customWidth="1"/>
    <col min="14865" max="14865" width="10.85546875" style="146" customWidth="1"/>
    <col min="14866" max="14866" width="7.5703125" style="146" customWidth="1"/>
    <col min="14867" max="14867" width="8.85546875" style="146"/>
    <col min="14868" max="14868" width="8.28515625" style="146" customWidth="1"/>
    <col min="14869" max="14869" width="48.28515625" style="146" customWidth="1"/>
    <col min="14870" max="14870" width="13.28515625" style="146" customWidth="1"/>
    <col min="14871" max="14871" width="10.28515625" style="146" customWidth="1"/>
    <col min="14872" max="14872" width="14.85546875" style="146" customWidth="1"/>
    <col min="14873" max="14873" width="11.5703125" style="146" customWidth="1"/>
    <col min="14874" max="14874" width="8.85546875" style="146"/>
    <col min="14875" max="14875" width="9.28515625" style="146" customWidth="1"/>
    <col min="14876" max="14876" width="59.7109375" style="146" customWidth="1"/>
    <col min="14877" max="14877" width="14.140625" style="146" customWidth="1"/>
    <col min="14878" max="14878" width="12.85546875" style="146" customWidth="1"/>
    <col min="14879" max="14879" width="17.28515625" style="146" customWidth="1"/>
    <col min="14880" max="14881" width="8.85546875" style="146"/>
    <col min="14882" max="14882" width="9.28515625" style="146" customWidth="1"/>
    <col min="14883" max="14883" width="59.7109375" style="146" customWidth="1"/>
    <col min="14884" max="14884" width="14.140625" style="146" customWidth="1"/>
    <col min="14885" max="14885" width="12.85546875" style="146" customWidth="1"/>
    <col min="14886" max="14886" width="17.28515625" style="146" customWidth="1"/>
    <col min="14887" max="14887" width="8.85546875" style="146"/>
    <col min="14888" max="14888" width="10.85546875" style="146" customWidth="1"/>
    <col min="14889" max="14889" width="8.85546875" style="146"/>
    <col min="14890" max="14890" width="15.42578125" style="146" customWidth="1"/>
    <col min="14891" max="14891" width="11.5703125" style="146" customWidth="1"/>
    <col min="14892" max="14893" width="8.85546875" style="146"/>
    <col min="14894" max="14894" width="9.28515625" style="146" customWidth="1"/>
    <col min="14895" max="14895" width="59.7109375" style="146" customWidth="1"/>
    <col min="14896" max="14896" width="14.140625" style="146" customWidth="1"/>
    <col min="14897" max="14897" width="12.85546875" style="146" customWidth="1"/>
    <col min="14898" max="14898" width="17.28515625" style="146" customWidth="1"/>
    <col min="14899" max="14899" width="8.85546875" style="146"/>
    <col min="14900" max="14900" width="10.85546875" style="146" customWidth="1"/>
    <col min="14901" max="14901" width="8.85546875" style="146"/>
    <col min="14902" max="14902" width="15.42578125" style="146" customWidth="1"/>
    <col min="14903" max="14903" width="11.5703125" style="146" customWidth="1"/>
    <col min="14904" max="14905" width="8.85546875" style="146"/>
    <col min="14906" max="14906" width="9.28515625" style="146" customWidth="1"/>
    <col min="14907" max="14907" width="59.7109375" style="146" customWidth="1"/>
    <col min="14908" max="14908" width="14.140625" style="146" customWidth="1"/>
    <col min="14909" max="14909" width="12.85546875" style="146" customWidth="1"/>
    <col min="14910" max="14910" width="17.28515625" style="146" customWidth="1"/>
    <col min="14911" max="14911" width="8.85546875" style="146"/>
    <col min="14912" max="14912" width="10.85546875" style="146" customWidth="1"/>
    <col min="14913" max="14913" width="8.85546875" style="146"/>
    <col min="14914" max="14914" width="15.42578125" style="146" customWidth="1"/>
    <col min="14915" max="14915" width="11.5703125" style="146" customWidth="1"/>
    <col min="14916" max="14920" width="8.85546875" style="146"/>
    <col min="14921" max="14921" width="68.5703125" style="146" customWidth="1"/>
    <col min="14922" max="14922" width="14" style="146" bestFit="1" customWidth="1"/>
    <col min="14923" max="14923" width="10.28515625" style="146" bestFit="1" customWidth="1"/>
    <col min="14924" max="14924" width="7.7109375" style="146" bestFit="1" customWidth="1"/>
    <col min="14925" max="14925" width="8.85546875" style="146"/>
    <col min="14926" max="14926" width="11" style="146" bestFit="1" customWidth="1"/>
    <col min="14927" max="14929" width="8.85546875" style="146"/>
    <col min="14930" max="14930" width="11.85546875" style="146" bestFit="1" customWidth="1"/>
    <col min="14931" max="15104" width="8.85546875" style="146"/>
    <col min="15105" max="15105" width="8.42578125" style="146" customWidth="1"/>
    <col min="15106" max="15106" width="45.5703125" style="146" customWidth="1"/>
    <col min="15107" max="15107" width="13.28515625" style="146" customWidth="1"/>
    <col min="15108" max="15108" width="10.5703125" style="146" customWidth="1"/>
    <col min="15109" max="15109" width="7.7109375" style="146" customWidth="1"/>
    <col min="15110" max="15110" width="8.42578125" style="146" customWidth="1"/>
    <col min="15111" max="15111" width="12.5703125" style="146" customWidth="1"/>
    <col min="15112" max="15112" width="7.85546875" style="146" customWidth="1"/>
    <col min="15113" max="15113" width="45" style="146" customWidth="1"/>
    <col min="15114" max="15114" width="13.28515625" style="146" customWidth="1"/>
    <col min="15115" max="15115" width="11" style="146" customWidth="1"/>
    <col min="15116" max="15116" width="7.5703125" style="146" customWidth="1"/>
    <col min="15117" max="15117" width="8.85546875" style="146"/>
    <col min="15118" max="15118" width="8" style="146" customWidth="1"/>
    <col min="15119" max="15119" width="43.42578125" style="146" customWidth="1"/>
    <col min="15120" max="15120" width="13.7109375" style="146" customWidth="1"/>
    <col min="15121" max="15121" width="10.85546875" style="146" customWidth="1"/>
    <col min="15122" max="15122" width="7.5703125" style="146" customWidth="1"/>
    <col min="15123" max="15123" width="8.85546875" style="146"/>
    <col min="15124" max="15124" width="8.28515625" style="146" customWidth="1"/>
    <col min="15125" max="15125" width="48.28515625" style="146" customWidth="1"/>
    <col min="15126" max="15126" width="13.28515625" style="146" customWidth="1"/>
    <col min="15127" max="15127" width="10.28515625" style="146" customWidth="1"/>
    <col min="15128" max="15128" width="14.85546875" style="146" customWidth="1"/>
    <col min="15129" max="15129" width="11.5703125" style="146" customWidth="1"/>
    <col min="15130" max="15130" width="8.85546875" style="146"/>
    <col min="15131" max="15131" width="9.28515625" style="146" customWidth="1"/>
    <col min="15132" max="15132" width="59.7109375" style="146" customWidth="1"/>
    <col min="15133" max="15133" width="14.140625" style="146" customWidth="1"/>
    <col min="15134" max="15134" width="12.85546875" style="146" customWidth="1"/>
    <col min="15135" max="15135" width="17.28515625" style="146" customWidth="1"/>
    <col min="15136" max="15137" width="8.85546875" style="146"/>
    <col min="15138" max="15138" width="9.28515625" style="146" customWidth="1"/>
    <col min="15139" max="15139" width="59.7109375" style="146" customWidth="1"/>
    <col min="15140" max="15140" width="14.140625" style="146" customWidth="1"/>
    <col min="15141" max="15141" width="12.85546875" style="146" customWidth="1"/>
    <col min="15142" max="15142" width="17.28515625" style="146" customWidth="1"/>
    <col min="15143" max="15143" width="8.85546875" style="146"/>
    <col min="15144" max="15144" width="10.85546875" style="146" customWidth="1"/>
    <col min="15145" max="15145" width="8.85546875" style="146"/>
    <col min="15146" max="15146" width="15.42578125" style="146" customWidth="1"/>
    <col min="15147" max="15147" width="11.5703125" style="146" customWidth="1"/>
    <col min="15148" max="15149" width="8.85546875" style="146"/>
    <col min="15150" max="15150" width="9.28515625" style="146" customWidth="1"/>
    <col min="15151" max="15151" width="59.7109375" style="146" customWidth="1"/>
    <col min="15152" max="15152" width="14.140625" style="146" customWidth="1"/>
    <col min="15153" max="15153" width="12.85546875" style="146" customWidth="1"/>
    <col min="15154" max="15154" width="17.28515625" style="146" customWidth="1"/>
    <col min="15155" max="15155" width="8.85546875" style="146"/>
    <col min="15156" max="15156" width="10.85546875" style="146" customWidth="1"/>
    <col min="15157" max="15157" width="8.85546875" style="146"/>
    <col min="15158" max="15158" width="15.42578125" style="146" customWidth="1"/>
    <col min="15159" max="15159" width="11.5703125" style="146" customWidth="1"/>
    <col min="15160" max="15161" width="8.85546875" style="146"/>
    <col min="15162" max="15162" width="9.28515625" style="146" customWidth="1"/>
    <col min="15163" max="15163" width="59.7109375" style="146" customWidth="1"/>
    <col min="15164" max="15164" width="14.140625" style="146" customWidth="1"/>
    <col min="15165" max="15165" width="12.85546875" style="146" customWidth="1"/>
    <col min="15166" max="15166" width="17.28515625" style="146" customWidth="1"/>
    <col min="15167" max="15167" width="8.85546875" style="146"/>
    <col min="15168" max="15168" width="10.85546875" style="146" customWidth="1"/>
    <col min="15169" max="15169" width="8.85546875" style="146"/>
    <col min="15170" max="15170" width="15.42578125" style="146" customWidth="1"/>
    <col min="15171" max="15171" width="11.5703125" style="146" customWidth="1"/>
    <col min="15172" max="15176" width="8.85546875" style="146"/>
    <col min="15177" max="15177" width="68.5703125" style="146" customWidth="1"/>
    <col min="15178" max="15178" width="14" style="146" bestFit="1" customWidth="1"/>
    <col min="15179" max="15179" width="10.28515625" style="146" bestFit="1" customWidth="1"/>
    <col min="15180" max="15180" width="7.7109375" style="146" bestFit="1" customWidth="1"/>
    <col min="15181" max="15181" width="8.85546875" style="146"/>
    <col min="15182" max="15182" width="11" style="146" bestFit="1" customWidth="1"/>
    <col min="15183" max="15185" width="8.85546875" style="146"/>
    <col min="15186" max="15186" width="11.85546875" style="146" bestFit="1" customWidth="1"/>
    <col min="15187" max="15360" width="8.85546875" style="146"/>
    <col min="15361" max="15361" width="8.42578125" style="146" customWidth="1"/>
    <col min="15362" max="15362" width="45.5703125" style="146" customWidth="1"/>
    <col min="15363" max="15363" width="13.28515625" style="146" customWidth="1"/>
    <col min="15364" max="15364" width="10.5703125" style="146" customWidth="1"/>
    <col min="15365" max="15365" width="7.7109375" style="146" customWidth="1"/>
    <col min="15366" max="15366" width="8.42578125" style="146" customWidth="1"/>
    <col min="15367" max="15367" width="12.5703125" style="146" customWidth="1"/>
    <col min="15368" max="15368" width="7.85546875" style="146" customWidth="1"/>
    <col min="15369" max="15369" width="45" style="146" customWidth="1"/>
    <col min="15370" max="15370" width="13.28515625" style="146" customWidth="1"/>
    <col min="15371" max="15371" width="11" style="146" customWidth="1"/>
    <col min="15372" max="15372" width="7.5703125" style="146" customWidth="1"/>
    <col min="15373" max="15373" width="8.85546875" style="146"/>
    <col min="15374" max="15374" width="8" style="146" customWidth="1"/>
    <col min="15375" max="15375" width="43.42578125" style="146" customWidth="1"/>
    <col min="15376" max="15376" width="13.7109375" style="146" customWidth="1"/>
    <col min="15377" max="15377" width="10.85546875" style="146" customWidth="1"/>
    <col min="15378" max="15378" width="7.5703125" style="146" customWidth="1"/>
    <col min="15379" max="15379" width="8.85546875" style="146"/>
    <col min="15380" max="15380" width="8.28515625" style="146" customWidth="1"/>
    <col min="15381" max="15381" width="48.28515625" style="146" customWidth="1"/>
    <col min="15382" max="15382" width="13.28515625" style="146" customWidth="1"/>
    <col min="15383" max="15383" width="10.28515625" style="146" customWidth="1"/>
    <col min="15384" max="15384" width="14.85546875" style="146" customWidth="1"/>
    <col min="15385" max="15385" width="11.5703125" style="146" customWidth="1"/>
    <col min="15386" max="15386" width="8.85546875" style="146"/>
    <col min="15387" max="15387" width="9.28515625" style="146" customWidth="1"/>
    <col min="15388" max="15388" width="59.7109375" style="146" customWidth="1"/>
    <col min="15389" max="15389" width="14.140625" style="146" customWidth="1"/>
    <col min="15390" max="15390" width="12.85546875" style="146" customWidth="1"/>
    <col min="15391" max="15391" width="17.28515625" style="146" customWidth="1"/>
    <col min="15392" max="15393" width="8.85546875" style="146"/>
    <col min="15394" max="15394" width="9.28515625" style="146" customWidth="1"/>
    <col min="15395" max="15395" width="59.7109375" style="146" customWidth="1"/>
    <col min="15396" max="15396" width="14.140625" style="146" customWidth="1"/>
    <col min="15397" max="15397" width="12.85546875" style="146" customWidth="1"/>
    <col min="15398" max="15398" width="17.28515625" style="146" customWidth="1"/>
    <col min="15399" max="15399" width="8.85546875" style="146"/>
    <col min="15400" max="15400" width="10.85546875" style="146" customWidth="1"/>
    <col min="15401" max="15401" width="8.85546875" style="146"/>
    <col min="15402" max="15402" width="15.42578125" style="146" customWidth="1"/>
    <col min="15403" max="15403" width="11.5703125" style="146" customWidth="1"/>
    <col min="15404" max="15405" width="8.85546875" style="146"/>
    <col min="15406" max="15406" width="9.28515625" style="146" customWidth="1"/>
    <col min="15407" max="15407" width="59.7109375" style="146" customWidth="1"/>
    <col min="15408" max="15408" width="14.140625" style="146" customWidth="1"/>
    <col min="15409" max="15409" width="12.85546875" style="146" customWidth="1"/>
    <col min="15410" max="15410" width="17.28515625" style="146" customWidth="1"/>
    <col min="15411" max="15411" width="8.85546875" style="146"/>
    <col min="15412" max="15412" width="10.85546875" style="146" customWidth="1"/>
    <col min="15413" max="15413" width="8.85546875" style="146"/>
    <col min="15414" max="15414" width="15.42578125" style="146" customWidth="1"/>
    <col min="15415" max="15415" width="11.5703125" style="146" customWidth="1"/>
    <col min="15416" max="15417" width="8.85546875" style="146"/>
    <col min="15418" max="15418" width="9.28515625" style="146" customWidth="1"/>
    <col min="15419" max="15419" width="59.7109375" style="146" customWidth="1"/>
    <col min="15420" max="15420" width="14.140625" style="146" customWidth="1"/>
    <col min="15421" max="15421" width="12.85546875" style="146" customWidth="1"/>
    <col min="15422" max="15422" width="17.28515625" style="146" customWidth="1"/>
    <col min="15423" max="15423" width="8.85546875" style="146"/>
    <col min="15424" max="15424" width="10.85546875" style="146" customWidth="1"/>
    <col min="15425" max="15425" width="8.85546875" style="146"/>
    <col min="15426" max="15426" width="15.42578125" style="146" customWidth="1"/>
    <col min="15427" max="15427" width="11.5703125" style="146" customWidth="1"/>
    <col min="15428" max="15432" width="8.85546875" style="146"/>
    <col min="15433" max="15433" width="68.5703125" style="146" customWidth="1"/>
    <col min="15434" max="15434" width="14" style="146" bestFit="1" customWidth="1"/>
    <col min="15435" max="15435" width="10.28515625" style="146" bestFit="1" customWidth="1"/>
    <col min="15436" max="15436" width="7.7109375" style="146" bestFit="1" customWidth="1"/>
    <col min="15437" max="15437" width="8.85546875" style="146"/>
    <col min="15438" max="15438" width="11" style="146" bestFit="1" customWidth="1"/>
    <col min="15439" max="15441" width="8.85546875" style="146"/>
    <col min="15442" max="15442" width="11.85546875" style="146" bestFit="1" customWidth="1"/>
    <col min="15443" max="15616" width="8.85546875" style="146"/>
    <col min="15617" max="15617" width="8.42578125" style="146" customWidth="1"/>
    <col min="15618" max="15618" width="45.5703125" style="146" customWidth="1"/>
    <col min="15619" max="15619" width="13.28515625" style="146" customWidth="1"/>
    <col min="15620" max="15620" width="10.5703125" style="146" customWidth="1"/>
    <col min="15621" max="15621" width="7.7109375" style="146" customWidth="1"/>
    <col min="15622" max="15622" width="8.42578125" style="146" customWidth="1"/>
    <col min="15623" max="15623" width="12.5703125" style="146" customWidth="1"/>
    <col min="15624" max="15624" width="7.85546875" style="146" customWidth="1"/>
    <col min="15625" max="15625" width="45" style="146" customWidth="1"/>
    <col min="15626" max="15626" width="13.28515625" style="146" customWidth="1"/>
    <col min="15627" max="15627" width="11" style="146" customWidth="1"/>
    <col min="15628" max="15628" width="7.5703125" style="146" customWidth="1"/>
    <col min="15629" max="15629" width="8.85546875" style="146"/>
    <col min="15630" max="15630" width="8" style="146" customWidth="1"/>
    <col min="15631" max="15631" width="43.42578125" style="146" customWidth="1"/>
    <col min="15632" max="15632" width="13.7109375" style="146" customWidth="1"/>
    <col min="15633" max="15633" width="10.85546875" style="146" customWidth="1"/>
    <col min="15634" max="15634" width="7.5703125" style="146" customWidth="1"/>
    <col min="15635" max="15635" width="8.85546875" style="146"/>
    <col min="15636" max="15636" width="8.28515625" style="146" customWidth="1"/>
    <col min="15637" max="15637" width="48.28515625" style="146" customWidth="1"/>
    <col min="15638" max="15638" width="13.28515625" style="146" customWidth="1"/>
    <col min="15639" max="15639" width="10.28515625" style="146" customWidth="1"/>
    <col min="15640" max="15640" width="14.85546875" style="146" customWidth="1"/>
    <col min="15641" max="15641" width="11.5703125" style="146" customWidth="1"/>
    <col min="15642" max="15642" width="8.85546875" style="146"/>
    <col min="15643" max="15643" width="9.28515625" style="146" customWidth="1"/>
    <col min="15644" max="15644" width="59.7109375" style="146" customWidth="1"/>
    <col min="15645" max="15645" width="14.140625" style="146" customWidth="1"/>
    <col min="15646" max="15646" width="12.85546875" style="146" customWidth="1"/>
    <col min="15647" max="15647" width="17.28515625" style="146" customWidth="1"/>
    <col min="15648" max="15649" width="8.85546875" style="146"/>
    <col min="15650" max="15650" width="9.28515625" style="146" customWidth="1"/>
    <col min="15651" max="15651" width="59.7109375" style="146" customWidth="1"/>
    <col min="15652" max="15652" width="14.140625" style="146" customWidth="1"/>
    <col min="15653" max="15653" width="12.85546875" style="146" customWidth="1"/>
    <col min="15654" max="15654" width="17.28515625" style="146" customWidth="1"/>
    <col min="15655" max="15655" width="8.85546875" style="146"/>
    <col min="15656" max="15656" width="10.85546875" style="146" customWidth="1"/>
    <col min="15657" max="15657" width="8.85546875" style="146"/>
    <col min="15658" max="15658" width="15.42578125" style="146" customWidth="1"/>
    <col min="15659" max="15659" width="11.5703125" style="146" customWidth="1"/>
    <col min="15660" max="15661" width="8.85546875" style="146"/>
    <col min="15662" max="15662" width="9.28515625" style="146" customWidth="1"/>
    <col min="15663" max="15663" width="59.7109375" style="146" customWidth="1"/>
    <col min="15664" max="15664" width="14.140625" style="146" customWidth="1"/>
    <col min="15665" max="15665" width="12.85546875" style="146" customWidth="1"/>
    <col min="15666" max="15666" width="17.28515625" style="146" customWidth="1"/>
    <col min="15667" max="15667" width="8.85546875" style="146"/>
    <col min="15668" max="15668" width="10.85546875" style="146" customWidth="1"/>
    <col min="15669" max="15669" width="8.85546875" style="146"/>
    <col min="15670" max="15670" width="15.42578125" style="146" customWidth="1"/>
    <col min="15671" max="15671" width="11.5703125" style="146" customWidth="1"/>
    <col min="15672" max="15673" width="8.85546875" style="146"/>
    <col min="15674" max="15674" width="9.28515625" style="146" customWidth="1"/>
    <col min="15675" max="15675" width="59.7109375" style="146" customWidth="1"/>
    <col min="15676" max="15676" width="14.140625" style="146" customWidth="1"/>
    <col min="15677" max="15677" width="12.85546875" style="146" customWidth="1"/>
    <col min="15678" max="15678" width="17.28515625" style="146" customWidth="1"/>
    <col min="15679" max="15679" width="8.85546875" style="146"/>
    <col min="15680" max="15680" width="10.85546875" style="146" customWidth="1"/>
    <col min="15681" max="15681" width="8.85546875" style="146"/>
    <col min="15682" max="15682" width="15.42578125" style="146" customWidth="1"/>
    <col min="15683" max="15683" width="11.5703125" style="146" customWidth="1"/>
    <col min="15684" max="15688" width="8.85546875" style="146"/>
    <col min="15689" max="15689" width="68.5703125" style="146" customWidth="1"/>
    <col min="15690" max="15690" width="14" style="146" bestFit="1" customWidth="1"/>
    <col min="15691" max="15691" width="10.28515625" style="146" bestFit="1" customWidth="1"/>
    <col min="15692" max="15692" width="7.7109375" style="146" bestFit="1" customWidth="1"/>
    <col min="15693" max="15693" width="8.85546875" style="146"/>
    <col min="15694" max="15694" width="11" style="146" bestFit="1" customWidth="1"/>
    <col min="15695" max="15697" width="8.85546875" style="146"/>
    <col min="15698" max="15698" width="11.85546875" style="146" bestFit="1" customWidth="1"/>
    <col min="15699" max="15872" width="8.85546875" style="146"/>
    <col min="15873" max="15873" width="8.42578125" style="146" customWidth="1"/>
    <col min="15874" max="15874" width="45.5703125" style="146" customWidth="1"/>
    <col min="15875" max="15875" width="13.28515625" style="146" customWidth="1"/>
    <col min="15876" max="15876" width="10.5703125" style="146" customWidth="1"/>
    <col min="15877" max="15877" width="7.7109375" style="146" customWidth="1"/>
    <col min="15878" max="15878" width="8.42578125" style="146" customWidth="1"/>
    <col min="15879" max="15879" width="12.5703125" style="146" customWidth="1"/>
    <col min="15880" max="15880" width="7.85546875" style="146" customWidth="1"/>
    <col min="15881" max="15881" width="45" style="146" customWidth="1"/>
    <col min="15882" max="15882" width="13.28515625" style="146" customWidth="1"/>
    <col min="15883" max="15883" width="11" style="146" customWidth="1"/>
    <col min="15884" max="15884" width="7.5703125" style="146" customWidth="1"/>
    <col min="15885" max="15885" width="8.85546875" style="146"/>
    <col min="15886" max="15886" width="8" style="146" customWidth="1"/>
    <col min="15887" max="15887" width="43.42578125" style="146" customWidth="1"/>
    <col min="15888" max="15888" width="13.7109375" style="146" customWidth="1"/>
    <col min="15889" max="15889" width="10.85546875" style="146" customWidth="1"/>
    <col min="15890" max="15890" width="7.5703125" style="146" customWidth="1"/>
    <col min="15891" max="15891" width="8.85546875" style="146"/>
    <col min="15892" max="15892" width="8.28515625" style="146" customWidth="1"/>
    <col min="15893" max="15893" width="48.28515625" style="146" customWidth="1"/>
    <col min="15894" max="15894" width="13.28515625" style="146" customWidth="1"/>
    <col min="15895" max="15895" width="10.28515625" style="146" customWidth="1"/>
    <col min="15896" max="15896" width="14.85546875" style="146" customWidth="1"/>
    <col min="15897" max="15897" width="11.5703125" style="146" customWidth="1"/>
    <col min="15898" max="15898" width="8.85546875" style="146"/>
    <col min="15899" max="15899" width="9.28515625" style="146" customWidth="1"/>
    <col min="15900" max="15900" width="59.7109375" style="146" customWidth="1"/>
    <col min="15901" max="15901" width="14.140625" style="146" customWidth="1"/>
    <col min="15902" max="15902" width="12.85546875" style="146" customWidth="1"/>
    <col min="15903" max="15903" width="17.28515625" style="146" customWidth="1"/>
    <col min="15904" max="15905" width="8.85546875" style="146"/>
    <col min="15906" max="15906" width="9.28515625" style="146" customWidth="1"/>
    <col min="15907" max="15907" width="59.7109375" style="146" customWidth="1"/>
    <col min="15908" max="15908" width="14.140625" style="146" customWidth="1"/>
    <col min="15909" max="15909" width="12.85546875" style="146" customWidth="1"/>
    <col min="15910" max="15910" width="17.28515625" style="146" customWidth="1"/>
    <col min="15911" max="15911" width="8.85546875" style="146"/>
    <col min="15912" max="15912" width="10.85546875" style="146" customWidth="1"/>
    <col min="15913" max="15913" width="8.85546875" style="146"/>
    <col min="15914" max="15914" width="15.42578125" style="146" customWidth="1"/>
    <col min="15915" max="15915" width="11.5703125" style="146" customWidth="1"/>
    <col min="15916" max="15917" width="8.85546875" style="146"/>
    <col min="15918" max="15918" width="9.28515625" style="146" customWidth="1"/>
    <col min="15919" max="15919" width="59.7109375" style="146" customWidth="1"/>
    <col min="15920" max="15920" width="14.140625" style="146" customWidth="1"/>
    <col min="15921" max="15921" width="12.85546875" style="146" customWidth="1"/>
    <col min="15922" max="15922" width="17.28515625" style="146" customWidth="1"/>
    <col min="15923" max="15923" width="8.85546875" style="146"/>
    <col min="15924" max="15924" width="10.85546875" style="146" customWidth="1"/>
    <col min="15925" max="15925" width="8.85546875" style="146"/>
    <col min="15926" max="15926" width="15.42578125" style="146" customWidth="1"/>
    <col min="15927" max="15927" width="11.5703125" style="146" customWidth="1"/>
    <col min="15928" max="15929" width="8.85546875" style="146"/>
    <col min="15930" max="15930" width="9.28515625" style="146" customWidth="1"/>
    <col min="15931" max="15931" width="59.7109375" style="146" customWidth="1"/>
    <col min="15932" max="15932" width="14.140625" style="146" customWidth="1"/>
    <col min="15933" max="15933" width="12.85546875" style="146" customWidth="1"/>
    <col min="15934" max="15934" width="17.28515625" style="146" customWidth="1"/>
    <col min="15935" max="15935" width="8.85546875" style="146"/>
    <col min="15936" max="15936" width="10.85546875" style="146" customWidth="1"/>
    <col min="15937" max="15937" width="8.85546875" style="146"/>
    <col min="15938" max="15938" width="15.42578125" style="146" customWidth="1"/>
    <col min="15939" max="15939" width="11.5703125" style="146" customWidth="1"/>
    <col min="15940" max="15944" width="8.85546875" style="146"/>
    <col min="15945" max="15945" width="68.5703125" style="146" customWidth="1"/>
    <col min="15946" max="15946" width="14" style="146" bestFit="1" customWidth="1"/>
    <col min="15947" max="15947" width="10.28515625" style="146" bestFit="1" customWidth="1"/>
    <col min="15948" max="15948" width="7.7109375" style="146" bestFit="1" customWidth="1"/>
    <col min="15949" max="15949" width="8.85546875" style="146"/>
    <col min="15950" max="15950" width="11" style="146" bestFit="1" customWidth="1"/>
    <col min="15951" max="15953" width="8.85546875" style="146"/>
    <col min="15954" max="15954" width="11.85546875" style="146" bestFit="1" customWidth="1"/>
    <col min="15955" max="16128" width="8.85546875" style="146"/>
    <col min="16129" max="16129" width="8.42578125" style="146" customWidth="1"/>
    <col min="16130" max="16130" width="45.5703125" style="146" customWidth="1"/>
    <col min="16131" max="16131" width="13.28515625" style="146" customWidth="1"/>
    <col min="16132" max="16132" width="10.5703125" style="146" customWidth="1"/>
    <col min="16133" max="16133" width="7.7109375" style="146" customWidth="1"/>
    <col min="16134" max="16134" width="8.42578125" style="146" customWidth="1"/>
    <col min="16135" max="16135" width="12.5703125" style="146" customWidth="1"/>
    <col min="16136" max="16136" width="7.85546875" style="146" customWidth="1"/>
    <col min="16137" max="16137" width="45" style="146" customWidth="1"/>
    <col min="16138" max="16138" width="13.28515625" style="146" customWidth="1"/>
    <col min="16139" max="16139" width="11" style="146" customWidth="1"/>
    <col min="16140" max="16140" width="7.5703125" style="146" customWidth="1"/>
    <col min="16141" max="16141" width="8.85546875" style="146"/>
    <col min="16142" max="16142" width="8" style="146" customWidth="1"/>
    <col min="16143" max="16143" width="43.42578125" style="146" customWidth="1"/>
    <col min="16144" max="16144" width="13.7109375" style="146" customWidth="1"/>
    <col min="16145" max="16145" width="10.85546875" style="146" customWidth="1"/>
    <col min="16146" max="16146" width="7.5703125" style="146" customWidth="1"/>
    <col min="16147" max="16147" width="8.85546875" style="146"/>
    <col min="16148" max="16148" width="8.28515625" style="146" customWidth="1"/>
    <col min="16149" max="16149" width="48.28515625" style="146" customWidth="1"/>
    <col min="16150" max="16150" width="13.28515625" style="146" customWidth="1"/>
    <col min="16151" max="16151" width="10.28515625" style="146" customWidth="1"/>
    <col min="16152" max="16152" width="14.85546875" style="146" customWidth="1"/>
    <col min="16153" max="16153" width="11.5703125" style="146" customWidth="1"/>
    <col min="16154" max="16154" width="8.85546875" style="146"/>
    <col min="16155" max="16155" width="9.28515625" style="146" customWidth="1"/>
    <col min="16156" max="16156" width="59.7109375" style="146" customWidth="1"/>
    <col min="16157" max="16157" width="14.140625" style="146" customWidth="1"/>
    <col min="16158" max="16158" width="12.85546875" style="146" customWidth="1"/>
    <col min="16159" max="16159" width="17.28515625" style="146" customWidth="1"/>
    <col min="16160" max="16161" width="8.85546875" style="146"/>
    <col min="16162" max="16162" width="9.28515625" style="146" customWidth="1"/>
    <col min="16163" max="16163" width="59.7109375" style="146" customWidth="1"/>
    <col min="16164" max="16164" width="14.140625" style="146" customWidth="1"/>
    <col min="16165" max="16165" width="12.85546875" style="146" customWidth="1"/>
    <col min="16166" max="16166" width="17.28515625" style="146" customWidth="1"/>
    <col min="16167" max="16167" width="8.85546875" style="146"/>
    <col min="16168" max="16168" width="10.85546875" style="146" customWidth="1"/>
    <col min="16169" max="16169" width="8.85546875" style="146"/>
    <col min="16170" max="16170" width="15.42578125" style="146" customWidth="1"/>
    <col min="16171" max="16171" width="11.5703125" style="146" customWidth="1"/>
    <col min="16172" max="16173" width="8.85546875" style="146"/>
    <col min="16174" max="16174" width="9.28515625" style="146" customWidth="1"/>
    <col min="16175" max="16175" width="59.7109375" style="146" customWidth="1"/>
    <col min="16176" max="16176" width="14.140625" style="146" customWidth="1"/>
    <col min="16177" max="16177" width="12.85546875" style="146" customWidth="1"/>
    <col min="16178" max="16178" width="17.28515625" style="146" customWidth="1"/>
    <col min="16179" max="16179" width="8.85546875" style="146"/>
    <col min="16180" max="16180" width="10.85546875" style="146" customWidth="1"/>
    <col min="16181" max="16181" width="8.85546875" style="146"/>
    <col min="16182" max="16182" width="15.42578125" style="146" customWidth="1"/>
    <col min="16183" max="16183" width="11.5703125" style="146" customWidth="1"/>
    <col min="16184" max="16185" width="8.85546875" style="146"/>
    <col min="16186" max="16186" width="9.28515625" style="146" customWidth="1"/>
    <col min="16187" max="16187" width="59.7109375" style="146" customWidth="1"/>
    <col min="16188" max="16188" width="14.140625" style="146" customWidth="1"/>
    <col min="16189" max="16189" width="12.85546875" style="146" customWidth="1"/>
    <col min="16190" max="16190" width="17.28515625" style="146" customWidth="1"/>
    <col min="16191" max="16191" width="8.85546875" style="146"/>
    <col min="16192" max="16192" width="10.85546875" style="146" customWidth="1"/>
    <col min="16193" max="16193" width="8.85546875" style="146"/>
    <col min="16194" max="16194" width="15.42578125" style="146" customWidth="1"/>
    <col min="16195" max="16195" width="11.5703125" style="146" customWidth="1"/>
    <col min="16196" max="16200" width="8.85546875" style="146"/>
    <col min="16201" max="16201" width="68.5703125" style="146" customWidth="1"/>
    <col min="16202" max="16202" width="14" style="146" bestFit="1" customWidth="1"/>
    <col min="16203" max="16203" width="10.28515625" style="146" bestFit="1" customWidth="1"/>
    <col min="16204" max="16204" width="7.7109375" style="146" bestFit="1" customWidth="1"/>
    <col min="16205" max="16205" width="8.85546875" style="146"/>
    <col min="16206" max="16206" width="11" style="146" bestFit="1" customWidth="1"/>
    <col min="16207" max="16209" width="8.85546875" style="146"/>
    <col min="16210" max="16210" width="11.85546875" style="146" bestFit="1" customWidth="1"/>
    <col min="16211" max="16384" width="8.85546875" style="146"/>
  </cols>
  <sheetData>
    <row r="2" spans="1:82" ht="23.25" x14ac:dyDescent="0.35">
      <c r="B2" s="147" t="s">
        <v>104</v>
      </c>
      <c r="F2" s="148" t="s">
        <v>105</v>
      </c>
      <c r="G2" s="148" t="s">
        <v>106</v>
      </c>
      <c r="I2" s="147" t="s">
        <v>107</v>
      </c>
      <c r="O2" s="147" t="s">
        <v>108</v>
      </c>
      <c r="U2" s="147" t="s">
        <v>109</v>
      </c>
      <c r="W2" s="148">
        <v>20091205</v>
      </c>
      <c r="Z2" s="149"/>
      <c r="AB2" s="147" t="s">
        <v>110</v>
      </c>
      <c r="AD2" s="148"/>
      <c r="AI2" s="147" t="s">
        <v>111</v>
      </c>
      <c r="AK2" s="148"/>
      <c r="AU2" s="147" t="s">
        <v>112</v>
      </c>
      <c r="AW2" s="148"/>
      <c r="BG2" s="147" t="s">
        <v>113</v>
      </c>
      <c r="BI2" s="148"/>
      <c r="BU2" s="147" t="s">
        <v>114</v>
      </c>
      <c r="BW2" s="148"/>
    </row>
    <row r="3" spans="1:82" x14ac:dyDescent="0.2">
      <c r="B3" s="150" t="s">
        <v>115</v>
      </c>
      <c r="F3" s="148" t="s">
        <v>116</v>
      </c>
      <c r="I3" s="150" t="s">
        <v>115</v>
      </c>
      <c r="O3" s="150" t="s">
        <v>117</v>
      </c>
      <c r="U3" s="150" t="s">
        <v>30</v>
      </c>
      <c r="V3" s="148"/>
      <c r="W3" s="148"/>
      <c r="AB3" s="150" t="s">
        <v>30</v>
      </c>
      <c r="AC3" s="148"/>
      <c r="AD3" s="148"/>
      <c r="AI3" s="150" t="s">
        <v>30</v>
      </c>
      <c r="AJ3" s="148"/>
      <c r="AK3" s="148"/>
      <c r="AN3" s="151" t="s">
        <v>31</v>
      </c>
      <c r="AP3" s="152" t="s">
        <v>32</v>
      </c>
      <c r="AQ3" s="153"/>
      <c r="AU3" s="150" t="s">
        <v>30</v>
      </c>
      <c r="AV3" s="148"/>
      <c r="AW3" s="148"/>
      <c r="AZ3" s="151" t="s">
        <v>31</v>
      </c>
      <c r="BB3" s="152" t="s">
        <v>32</v>
      </c>
      <c r="BC3" s="153"/>
      <c r="BG3" s="150" t="s">
        <v>30</v>
      </c>
      <c r="BH3" s="148"/>
      <c r="BI3" s="148"/>
      <c r="BL3" s="151" t="s">
        <v>31</v>
      </c>
      <c r="BM3" s="146">
        <v>2013</v>
      </c>
      <c r="BN3" s="152" t="s">
        <v>32</v>
      </c>
      <c r="BO3" s="153"/>
      <c r="BP3" s="146" t="s">
        <v>33</v>
      </c>
      <c r="BU3" s="150" t="s">
        <v>30</v>
      </c>
      <c r="BV3" s="148"/>
      <c r="BW3" s="148"/>
      <c r="BZ3" s="151" t="s">
        <v>31</v>
      </c>
      <c r="CA3" s="146">
        <v>2013</v>
      </c>
      <c r="CB3" s="152" t="s">
        <v>32</v>
      </c>
      <c r="CC3" s="153"/>
      <c r="CD3" s="146" t="s">
        <v>33</v>
      </c>
    </row>
    <row r="4" spans="1:82" x14ac:dyDescent="0.2">
      <c r="B4" s="150" t="s">
        <v>118</v>
      </c>
      <c r="F4" s="148">
        <v>2008</v>
      </c>
      <c r="I4" s="150" t="s">
        <v>119</v>
      </c>
      <c r="O4" s="150" t="s">
        <v>120</v>
      </c>
      <c r="U4" s="150" t="s">
        <v>34</v>
      </c>
      <c r="V4" s="148"/>
      <c r="W4" s="148"/>
      <c r="AB4" s="150" t="s">
        <v>34</v>
      </c>
      <c r="AC4" s="148"/>
      <c r="AD4" s="148"/>
      <c r="AI4" s="150" t="s">
        <v>34</v>
      </c>
      <c r="AJ4" s="148"/>
      <c r="AK4" s="148"/>
      <c r="AN4" s="151"/>
      <c r="AP4" s="153"/>
      <c r="AQ4" s="153"/>
      <c r="AU4" s="150" t="s">
        <v>34</v>
      </c>
      <c r="AV4" s="148"/>
      <c r="AW4" s="148"/>
      <c r="AZ4" s="151"/>
      <c r="BB4" s="153"/>
      <c r="BC4" s="153"/>
      <c r="BG4" s="150" t="s">
        <v>34</v>
      </c>
      <c r="BH4" s="148"/>
      <c r="BI4" s="148"/>
      <c r="BL4" s="151"/>
      <c r="BN4" s="153"/>
      <c r="BO4" s="153"/>
      <c r="BU4" s="150" t="s">
        <v>34</v>
      </c>
      <c r="BV4" s="148"/>
      <c r="BW4" s="148"/>
      <c r="BZ4" s="151"/>
      <c r="CB4" s="153"/>
      <c r="CC4" s="153"/>
    </row>
    <row r="5" spans="1:82" x14ac:dyDescent="0.2">
      <c r="V5" s="148"/>
      <c r="W5" s="148"/>
      <c r="AC5" s="148"/>
      <c r="AD5" s="148"/>
      <c r="AJ5" s="148"/>
      <c r="AK5" s="148"/>
      <c r="AN5" s="151"/>
      <c r="AP5" s="153"/>
      <c r="AQ5" s="153"/>
      <c r="AV5" s="148"/>
      <c r="AW5" s="148"/>
      <c r="AZ5" s="151"/>
      <c r="BB5" s="153"/>
      <c r="BC5" s="153"/>
      <c r="BH5" s="148"/>
      <c r="BI5" s="148"/>
      <c r="BL5" s="151"/>
      <c r="BN5" s="153"/>
      <c r="BO5" s="153"/>
      <c r="BV5" s="148"/>
      <c r="BW5" s="148"/>
      <c r="BZ5" s="151"/>
      <c r="CB5" s="153"/>
      <c r="CC5" s="153"/>
    </row>
    <row r="6" spans="1:82" x14ac:dyDescent="0.2">
      <c r="E6" s="154"/>
      <c r="L6" s="154"/>
      <c r="V6" s="148"/>
      <c r="W6" s="148"/>
      <c r="X6" s="154"/>
      <c r="AC6" s="148"/>
      <c r="AD6" s="148"/>
      <c r="AE6" s="154"/>
      <c r="AJ6" s="148"/>
      <c r="AK6" s="148"/>
      <c r="AL6" s="154"/>
      <c r="AN6" s="151"/>
      <c r="AP6" s="153"/>
      <c r="AQ6" s="153"/>
      <c r="AV6" s="148"/>
      <c r="AW6" s="148"/>
      <c r="AX6" s="154"/>
      <c r="AZ6" s="151"/>
      <c r="BB6" s="153"/>
      <c r="BC6" s="153"/>
      <c r="BH6" s="148"/>
      <c r="BI6" s="148"/>
      <c r="BJ6" s="154"/>
      <c r="BL6" s="151"/>
      <c r="BN6" s="153"/>
      <c r="BO6" s="153"/>
      <c r="BV6" s="148"/>
      <c r="BW6" s="148"/>
      <c r="BX6" s="154"/>
      <c r="BZ6" s="151"/>
      <c r="CB6" s="153"/>
      <c r="CC6" s="153"/>
    </row>
    <row r="7" spans="1:82" ht="20.25" x14ac:dyDescent="0.3">
      <c r="B7" s="155" t="s">
        <v>121</v>
      </c>
      <c r="I7" s="155" t="s">
        <v>122</v>
      </c>
      <c r="O7" s="155" t="s">
        <v>122</v>
      </c>
      <c r="P7" s="148"/>
      <c r="Q7" s="148"/>
      <c r="U7" s="155" t="s">
        <v>123</v>
      </c>
      <c r="V7" s="148"/>
      <c r="W7" s="148"/>
      <c r="Y7" s="149"/>
      <c r="Z7" s="149"/>
      <c r="AB7" s="155" t="s">
        <v>124</v>
      </c>
      <c r="AC7" s="148"/>
      <c r="AD7" s="148"/>
      <c r="AF7" s="149"/>
      <c r="AG7" s="149"/>
      <c r="AI7" s="155" t="s">
        <v>125</v>
      </c>
      <c r="AJ7" s="148"/>
      <c r="AK7" s="148"/>
      <c r="AN7" s="151"/>
      <c r="AP7" s="153"/>
      <c r="AQ7" s="153"/>
      <c r="AU7" s="155" t="s">
        <v>126</v>
      </c>
      <c r="AV7" s="148"/>
      <c r="AW7" s="148"/>
      <c r="AZ7" s="151"/>
      <c r="BB7" s="153"/>
      <c r="BC7" s="153"/>
      <c r="BG7" s="155" t="s">
        <v>127</v>
      </c>
      <c r="BH7" s="148"/>
      <c r="BI7" s="148"/>
      <c r="BL7" s="151"/>
      <c r="BN7" s="153"/>
      <c r="BO7" s="153"/>
      <c r="BU7" s="155" t="s">
        <v>128</v>
      </c>
      <c r="BV7" s="148"/>
      <c r="BW7" s="148"/>
      <c r="BZ7" s="151"/>
      <c r="CB7" s="153"/>
      <c r="CC7" s="153"/>
    </row>
    <row r="8" spans="1:82" ht="13.5" thickBot="1" x14ac:dyDescent="0.25">
      <c r="P8" s="148"/>
      <c r="Q8" s="148"/>
      <c r="V8" s="148"/>
      <c r="W8" s="148"/>
      <c r="AC8" s="148"/>
      <c r="AD8" s="148"/>
      <c r="AJ8" s="148"/>
      <c r="AK8" s="148"/>
      <c r="AN8" s="151"/>
      <c r="AP8" s="153"/>
      <c r="AQ8" s="153"/>
      <c r="AV8" s="148"/>
      <c r="AW8" s="148"/>
      <c r="AZ8" s="151"/>
      <c r="BB8" s="153"/>
      <c r="BC8" s="153"/>
      <c r="BH8" s="148"/>
      <c r="BI8" s="148"/>
      <c r="BL8" s="151"/>
      <c r="BN8" s="153"/>
      <c r="BO8" s="153"/>
      <c r="BV8" s="148"/>
      <c r="BW8" s="148"/>
      <c r="BZ8" s="151"/>
      <c r="CB8" s="153"/>
      <c r="CC8" s="153"/>
    </row>
    <row r="9" spans="1:82" ht="18.75" thickBot="1" x14ac:dyDescent="0.3">
      <c r="A9" s="156" t="s">
        <v>36</v>
      </c>
      <c r="B9" s="157" t="s">
        <v>37</v>
      </c>
      <c r="C9" s="158" t="s">
        <v>38</v>
      </c>
      <c r="D9" s="158" t="s">
        <v>39</v>
      </c>
      <c r="E9" s="159" t="s">
        <v>40</v>
      </c>
      <c r="G9" s="148" t="s">
        <v>129</v>
      </c>
      <c r="H9" s="156" t="s">
        <v>36</v>
      </c>
      <c r="I9" s="157" t="s">
        <v>37</v>
      </c>
      <c r="J9" s="158" t="s">
        <v>38</v>
      </c>
      <c r="K9" s="158" t="s">
        <v>39</v>
      </c>
      <c r="L9" s="159" t="s">
        <v>40</v>
      </c>
      <c r="N9" s="156" t="s">
        <v>36</v>
      </c>
      <c r="O9" s="157" t="s">
        <v>37</v>
      </c>
      <c r="P9" s="158" t="s">
        <v>38</v>
      </c>
      <c r="Q9" s="158" t="s">
        <v>39</v>
      </c>
      <c r="R9" s="160" t="s">
        <v>40</v>
      </c>
      <c r="T9" s="156" t="s">
        <v>36</v>
      </c>
      <c r="U9" s="157" t="s">
        <v>37</v>
      </c>
      <c r="V9" s="158" t="s">
        <v>38</v>
      </c>
      <c r="W9" s="158" t="s">
        <v>39</v>
      </c>
      <c r="X9" s="159" t="s">
        <v>40</v>
      </c>
      <c r="AA9" s="156" t="s">
        <v>36</v>
      </c>
      <c r="AB9" s="157" t="s">
        <v>37</v>
      </c>
      <c r="AC9" s="158" t="s">
        <v>38</v>
      </c>
      <c r="AD9" s="158" t="s">
        <v>39</v>
      </c>
      <c r="AE9" s="159" t="s">
        <v>40</v>
      </c>
      <c r="AH9" s="156" t="s">
        <v>36</v>
      </c>
      <c r="AI9" s="157" t="s">
        <v>37</v>
      </c>
      <c r="AJ9" s="158" t="s">
        <v>38</v>
      </c>
      <c r="AK9" s="158" t="s">
        <v>39</v>
      </c>
      <c r="AL9" s="159" t="s">
        <v>40</v>
      </c>
      <c r="AN9" s="151">
        <v>9000</v>
      </c>
      <c r="AP9" s="152" t="s">
        <v>41</v>
      </c>
      <c r="AQ9" s="161">
        <v>36</v>
      </c>
      <c r="AT9" s="156" t="s">
        <v>36</v>
      </c>
      <c r="AU9" s="157" t="s">
        <v>37</v>
      </c>
      <c r="AV9" s="158" t="s">
        <v>38</v>
      </c>
      <c r="AW9" s="158" t="s">
        <v>39</v>
      </c>
      <c r="AX9" s="159" t="s">
        <v>40</v>
      </c>
      <c r="AZ9" s="151">
        <v>3000</v>
      </c>
      <c r="BB9" s="152" t="s">
        <v>41</v>
      </c>
      <c r="BC9" s="161">
        <v>36</v>
      </c>
      <c r="BF9" s="156" t="s">
        <v>36</v>
      </c>
      <c r="BG9" s="157" t="s">
        <v>37</v>
      </c>
      <c r="BH9" s="158" t="s">
        <v>38</v>
      </c>
      <c r="BI9" s="158" t="s">
        <v>39</v>
      </c>
      <c r="BJ9" s="159" t="s">
        <v>40</v>
      </c>
      <c r="BL9" s="151">
        <v>11000</v>
      </c>
      <c r="BM9" s="146">
        <v>1500</v>
      </c>
      <c r="BN9" s="152" t="s">
        <v>41</v>
      </c>
      <c r="BO9" s="161">
        <v>36</v>
      </c>
      <c r="BT9" s="156" t="s">
        <v>36</v>
      </c>
      <c r="BU9" s="157" t="s">
        <v>37</v>
      </c>
      <c r="BV9" s="158" t="s">
        <v>38</v>
      </c>
      <c r="BW9" s="158" t="s">
        <v>39</v>
      </c>
      <c r="BX9" s="159" t="s">
        <v>40</v>
      </c>
      <c r="BZ9" s="151">
        <v>4000</v>
      </c>
      <c r="CA9" s="146">
        <v>1500</v>
      </c>
      <c r="CB9" s="152" t="s">
        <v>41</v>
      </c>
      <c r="CC9" s="161">
        <v>36</v>
      </c>
    </row>
    <row r="10" spans="1:82" x14ac:dyDescent="0.2">
      <c r="A10" s="162"/>
      <c r="B10" s="163" t="s">
        <v>130</v>
      </c>
      <c r="C10" s="164"/>
      <c r="D10" s="165">
        <v>-10000</v>
      </c>
      <c r="E10" s="166">
        <f t="shared" ref="E10:E17" si="0">SUM(C10:D10)</f>
        <v>-10000</v>
      </c>
      <c r="G10" s="148">
        <v>-5618</v>
      </c>
      <c r="H10" s="162"/>
      <c r="I10" s="163" t="s">
        <v>131</v>
      </c>
      <c r="J10" s="164"/>
      <c r="K10" s="167">
        <v>-20000</v>
      </c>
      <c r="L10" s="166">
        <f t="shared" ref="L10:L17" si="1">SUM(J10:K10)</f>
        <v>-20000</v>
      </c>
      <c r="M10" s="146" t="s">
        <v>132</v>
      </c>
      <c r="N10" s="162">
        <v>301</v>
      </c>
      <c r="O10" s="163" t="s">
        <v>131</v>
      </c>
      <c r="P10" s="164"/>
      <c r="Q10" s="168">
        <v>-20000</v>
      </c>
      <c r="R10" s="169">
        <f t="shared" ref="R10:R17" si="2">SUM(P10:Q10)</f>
        <v>-20000</v>
      </c>
      <c r="T10" s="162">
        <v>301</v>
      </c>
      <c r="U10" s="163" t="s">
        <v>53</v>
      </c>
      <c r="V10" s="164"/>
      <c r="W10" s="168">
        <v>-10000</v>
      </c>
      <c r="X10" s="170">
        <f t="shared" ref="X10:X15" si="3">SUM(V10:W10)</f>
        <v>-10000</v>
      </c>
      <c r="AA10" s="162">
        <v>301</v>
      </c>
      <c r="AB10" s="163" t="s">
        <v>131</v>
      </c>
      <c r="AC10" s="164"/>
      <c r="AD10" s="168">
        <v>-22000</v>
      </c>
      <c r="AE10" s="169">
        <f>SUM(AC10:AD10)</f>
        <v>-22000</v>
      </c>
      <c r="AH10" s="162">
        <v>301</v>
      </c>
      <c r="AI10" s="163" t="s">
        <v>133</v>
      </c>
      <c r="AJ10" s="164"/>
      <c r="AK10" s="171">
        <v>-8268</v>
      </c>
      <c r="AL10" s="172">
        <f>SUM(AJ10:AK10)</f>
        <v>-8268</v>
      </c>
      <c r="AN10" s="151"/>
      <c r="AP10" s="153"/>
      <c r="AQ10" s="153"/>
      <c r="AT10" s="162">
        <v>301</v>
      </c>
      <c r="AU10" s="163" t="s">
        <v>133</v>
      </c>
      <c r="AV10" s="164"/>
      <c r="AW10" s="171">
        <v>0</v>
      </c>
      <c r="AX10" s="172">
        <f>SUM(AV10:AW10)</f>
        <v>0</v>
      </c>
      <c r="AZ10" s="151"/>
      <c r="BB10" s="153"/>
      <c r="BC10" s="153"/>
      <c r="BF10" s="162">
        <v>301</v>
      </c>
      <c r="BG10" s="163" t="s">
        <v>134</v>
      </c>
      <c r="BH10" s="164"/>
      <c r="BI10" s="171">
        <v>-10900</v>
      </c>
      <c r="BJ10" s="172">
        <f>SUM(BH10:BI10)</f>
        <v>-10900</v>
      </c>
      <c r="BL10" s="151"/>
      <c r="BN10" s="153"/>
      <c r="BO10" s="153"/>
      <c r="BT10" s="162">
        <v>301</v>
      </c>
      <c r="BU10" s="173" t="s">
        <v>135</v>
      </c>
      <c r="BV10" s="164"/>
      <c r="BW10" s="171">
        <v>0</v>
      </c>
      <c r="BX10" s="172">
        <f>SUM(BV10:BW10)</f>
        <v>0</v>
      </c>
      <c r="BZ10" s="151"/>
      <c r="CB10" s="153"/>
      <c r="CC10" s="153"/>
    </row>
    <row r="11" spans="1:82" x14ac:dyDescent="0.2">
      <c r="A11" s="162"/>
      <c r="B11" s="163"/>
      <c r="C11" s="165"/>
      <c r="D11" s="165"/>
      <c r="E11" s="166"/>
      <c r="H11" s="162"/>
      <c r="I11" s="163"/>
      <c r="J11" s="165"/>
      <c r="K11" s="167"/>
      <c r="L11" s="166"/>
      <c r="N11" s="162"/>
      <c r="O11" s="163"/>
      <c r="P11" s="165"/>
      <c r="Q11" s="168"/>
      <c r="R11" s="169"/>
      <c r="T11" s="162">
        <v>302</v>
      </c>
      <c r="U11" s="174" t="s">
        <v>136</v>
      </c>
      <c r="V11" s="175"/>
      <c r="W11" s="175">
        <v>0</v>
      </c>
      <c r="X11" s="170">
        <f>SUM(V11:W11)</f>
        <v>0</v>
      </c>
      <c r="AA11" s="162">
        <v>302</v>
      </c>
      <c r="AB11" s="163"/>
      <c r="AC11" s="165"/>
      <c r="AD11" s="168"/>
      <c r="AE11" s="169"/>
      <c r="AH11" s="162">
        <v>302</v>
      </c>
      <c r="AI11" s="163" t="s">
        <v>137</v>
      </c>
      <c r="AJ11" s="165"/>
      <c r="AK11" s="168"/>
      <c r="AL11" s="172">
        <f>SUM(AJ11:AK11)</f>
        <v>0</v>
      </c>
      <c r="AN11" s="151"/>
      <c r="AP11" s="153"/>
      <c r="AQ11" s="153"/>
      <c r="AT11" s="162">
        <v>302</v>
      </c>
      <c r="AU11" s="163" t="s">
        <v>137</v>
      </c>
      <c r="AV11" s="165"/>
      <c r="AW11" s="168"/>
      <c r="AX11" s="172">
        <f>SUM(AV11:AW11)</f>
        <v>0</v>
      </c>
      <c r="AZ11" s="151"/>
      <c r="BB11" s="153"/>
      <c r="BC11" s="153"/>
      <c r="BF11" s="162">
        <v>302</v>
      </c>
      <c r="BG11" s="163" t="s">
        <v>43</v>
      </c>
      <c r="BH11" s="165"/>
      <c r="BI11" s="168">
        <v>-2000</v>
      </c>
      <c r="BJ11" s="172">
        <f>SUM(BH11:BI11)</f>
        <v>-2000</v>
      </c>
      <c r="BL11" s="151"/>
      <c r="BN11" s="153"/>
      <c r="BO11" s="153"/>
      <c r="BT11" s="162">
        <v>302</v>
      </c>
      <c r="BU11" s="163" t="s">
        <v>43</v>
      </c>
      <c r="BV11" s="165"/>
      <c r="BW11" s="168">
        <v>0</v>
      </c>
      <c r="BX11" s="172">
        <f>SUM(BV11:BW11)</f>
        <v>0</v>
      </c>
      <c r="BZ11" s="151"/>
      <c r="CB11" s="153"/>
      <c r="CC11" s="153"/>
    </row>
    <row r="12" spans="1:82" x14ac:dyDescent="0.2">
      <c r="A12" s="162"/>
      <c r="B12" s="163" t="s">
        <v>138</v>
      </c>
      <c r="C12" s="165"/>
      <c r="D12" s="165">
        <v>-14000</v>
      </c>
      <c r="E12" s="166">
        <f t="shared" si="0"/>
        <v>-14000</v>
      </c>
      <c r="G12" s="148">
        <v>-12350</v>
      </c>
      <c r="H12" s="162"/>
      <c r="I12" s="163" t="s">
        <v>139</v>
      </c>
      <c r="J12" s="165"/>
      <c r="K12" s="165">
        <v>-21000</v>
      </c>
      <c r="L12" s="166">
        <f t="shared" si="1"/>
        <v>-21000</v>
      </c>
      <c r="N12" s="162">
        <v>302</v>
      </c>
      <c r="O12" s="163" t="s">
        <v>139</v>
      </c>
      <c r="P12" s="165"/>
      <c r="Q12" s="165">
        <v>-21000</v>
      </c>
      <c r="R12" s="169">
        <f t="shared" si="2"/>
        <v>-21000</v>
      </c>
      <c r="T12" s="162">
        <v>303</v>
      </c>
      <c r="U12" s="163" t="s">
        <v>140</v>
      </c>
      <c r="V12" s="165"/>
      <c r="W12" s="165">
        <f>-400*36</f>
        <v>-14400</v>
      </c>
      <c r="X12" s="176">
        <f t="shared" si="3"/>
        <v>-14400</v>
      </c>
      <c r="AA12" s="162">
        <v>303</v>
      </c>
      <c r="AB12" s="163" t="s">
        <v>141</v>
      </c>
      <c r="AC12" s="165"/>
      <c r="AD12" s="165">
        <v>-18000</v>
      </c>
      <c r="AE12" s="169">
        <f t="shared" ref="AE12:AE17" si="4">SUM(AC12:AD12)</f>
        <v>-18000</v>
      </c>
      <c r="AH12" s="162">
        <v>303</v>
      </c>
      <c r="AI12" s="163" t="s">
        <v>141</v>
      </c>
      <c r="AJ12" s="165"/>
      <c r="AK12" s="165">
        <v>-18000</v>
      </c>
      <c r="AL12" s="172">
        <f t="shared" ref="AL12:AL17" si="5">SUM(AJ12:AK12)</f>
        <v>-18000</v>
      </c>
      <c r="AN12" s="151"/>
      <c r="AP12" s="153"/>
      <c r="AQ12" s="153"/>
      <c r="AT12" s="162">
        <v>303</v>
      </c>
      <c r="AU12" s="163" t="s">
        <v>141</v>
      </c>
      <c r="AV12" s="165"/>
      <c r="AW12" s="165">
        <v>-18000</v>
      </c>
      <c r="AX12" s="172">
        <f t="shared" ref="AX12:AX17" si="6">SUM(AV12:AW12)</f>
        <v>-18000</v>
      </c>
      <c r="AZ12" s="151"/>
      <c r="BB12" s="153"/>
      <c r="BC12" s="153"/>
      <c r="BF12" s="162">
        <v>303</v>
      </c>
      <c r="BG12" s="163" t="s">
        <v>44</v>
      </c>
      <c r="BH12" s="165"/>
      <c r="BI12" s="165">
        <f>-BO9*450*1.11</f>
        <v>-17982</v>
      </c>
      <c r="BJ12" s="172">
        <f t="shared" ref="BJ12:BJ17" si="7">SUM(BH12:BI12)</f>
        <v>-17982</v>
      </c>
      <c r="BL12" s="151"/>
      <c r="BN12" s="153"/>
      <c r="BO12" s="153"/>
      <c r="BT12" s="162">
        <v>303</v>
      </c>
      <c r="BU12" s="173" t="s">
        <v>142</v>
      </c>
      <c r="BV12" s="165"/>
      <c r="BW12" s="165">
        <f>-CC9*450</f>
        <v>-16200</v>
      </c>
      <c r="BX12" s="172">
        <f t="shared" ref="BX12:BX17" si="8">SUM(BV12:BW12)</f>
        <v>-16200</v>
      </c>
      <c r="BZ12" s="151"/>
      <c r="CB12" s="153"/>
      <c r="CC12" s="153"/>
    </row>
    <row r="13" spans="1:82" x14ac:dyDescent="0.2">
      <c r="A13" s="162"/>
      <c r="B13" s="163"/>
      <c r="C13" s="165"/>
      <c r="D13" s="165"/>
      <c r="E13" s="166"/>
      <c r="H13" s="162"/>
      <c r="I13" s="163"/>
      <c r="J13" s="165"/>
      <c r="K13" s="165"/>
      <c r="L13" s="166"/>
      <c r="N13" s="162"/>
      <c r="O13" s="163"/>
      <c r="P13" s="165"/>
      <c r="Q13" s="165"/>
      <c r="R13" s="169"/>
      <c r="T13" s="177">
        <v>304</v>
      </c>
      <c r="U13" s="163" t="s">
        <v>143</v>
      </c>
      <c r="V13" s="165"/>
      <c r="W13" s="165">
        <f>-400*6</f>
        <v>-2400</v>
      </c>
      <c r="X13" s="176">
        <f t="shared" si="3"/>
        <v>-2400</v>
      </c>
      <c r="AA13" s="177">
        <v>304</v>
      </c>
      <c r="AB13" s="163" t="s">
        <v>144</v>
      </c>
      <c r="AC13" s="165"/>
      <c r="AD13" s="165">
        <v>-3000</v>
      </c>
      <c r="AE13" s="178">
        <f t="shared" si="4"/>
        <v>-3000</v>
      </c>
      <c r="AH13" s="177">
        <v>304</v>
      </c>
      <c r="AI13" s="163" t="s">
        <v>144</v>
      </c>
      <c r="AJ13" s="165"/>
      <c r="AK13" s="165">
        <v>-3000</v>
      </c>
      <c r="AL13" s="179">
        <f t="shared" si="5"/>
        <v>-3000</v>
      </c>
      <c r="AN13" s="151"/>
      <c r="AP13" s="153"/>
      <c r="AQ13" s="153"/>
      <c r="AT13" s="177">
        <v>304</v>
      </c>
      <c r="AU13" s="163" t="s">
        <v>144</v>
      </c>
      <c r="AV13" s="165"/>
      <c r="AW13" s="165">
        <v>-3000</v>
      </c>
      <c r="AX13" s="179">
        <f t="shared" si="6"/>
        <v>-3000</v>
      </c>
      <c r="AZ13" s="151"/>
      <c r="BB13" s="153"/>
      <c r="BC13" s="153"/>
      <c r="BF13" s="177">
        <v>304</v>
      </c>
      <c r="BG13" s="163" t="s">
        <v>45</v>
      </c>
      <c r="BH13" s="165"/>
      <c r="BI13" s="165">
        <f>-6*450*1.11</f>
        <v>-2997.0000000000005</v>
      </c>
      <c r="BJ13" s="179">
        <f t="shared" si="7"/>
        <v>-2997.0000000000005</v>
      </c>
      <c r="BL13" s="151"/>
      <c r="BN13" s="153"/>
      <c r="BO13" s="153"/>
      <c r="BT13" s="177">
        <v>304</v>
      </c>
      <c r="BU13" s="173" t="s">
        <v>145</v>
      </c>
      <c r="BV13" s="165"/>
      <c r="BW13" s="165">
        <f>-6*450</f>
        <v>-2700</v>
      </c>
      <c r="BX13" s="179">
        <f t="shared" si="8"/>
        <v>-2700</v>
      </c>
      <c r="BZ13" s="151"/>
      <c r="CB13" s="153"/>
      <c r="CC13" s="153"/>
    </row>
    <row r="14" spans="1:82" x14ac:dyDescent="0.2">
      <c r="A14" s="177"/>
      <c r="B14" s="174" t="s">
        <v>146</v>
      </c>
      <c r="C14" s="175"/>
      <c r="D14" s="175">
        <f>-(3960+500)</f>
        <v>-4460</v>
      </c>
      <c r="E14" s="180">
        <f t="shared" si="0"/>
        <v>-4460</v>
      </c>
      <c r="G14" s="148">
        <v>-2950</v>
      </c>
      <c r="H14" s="177"/>
      <c r="I14" s="174" t="s">
        <v>147</v>
      </c>
      <c r="J14" s="175"/>
      <c r="K14" s="175">
        <f>-(3960+500)</f>
        <v>-4460</v>
      </c>
      <c r="L14" s="180">
        <f t="shared" si="1"/>
        <v>-4460</v>
      </c>
      <c r="N14" s="177">
        <v>303</v>
      </c>
      <c r="O14" s="174" t="s">
        <v>147</v>
      </c>
      <c r="P14" s="175"/>
      <c r="Q14" s="175">
        <f>-(3960+500)</f>
        <v>-4460</v>
      </c>
      <c r="R14" s="181">
        <f t="shared" si="2"/>
        <v>-4460</v>
      </c>
      <c r="T14" s="177">
        <v>305</v>
      </c>
      <c r="U14" s="174" t="s">
        <v>147</v>
      </c>
      <c r="V14" s="175"/>
      <c r="W14" s="175">
        <f>-(4680+600)</f>
        <v>-5280</v>
      </c>
      <c r="X14" s="176">
        <f t="shared" si="3"/>
        <v>-5280</v>
      </c>
      <c r="AA14" s="177">
        <v>305</v>
      </c>
      <c r="AB14" s="174" t="s">
        <v>147</v>
      </c>
      <c r="AC14" s="175"/>
      <c r="AD14" s="175">
        <f>-(4680+600)</f>
        <v>-5280</v>
      </c>
      <c r="AE14" s="182">
        <f t="shared" si="4"/>
        <v>-5280</v>
      </c>
      <c r="AH14" s="177">
        <v>305</v>
      </c>
      <c r="AI14" s="174" t="s">
        <v>147</v>
      </c>
      <c r="AJ14" s="175"/>
      <c r="AK14" s="175">
        <f>-(4680+600)</f>
        <v>-5280</v>
      </c>
      <c r="AL14" s="183">
        <f t="shared" si="5"/>
        <v>-5280</v>
      </c>
      <c r="AN14" s="151"/>
      <c r="AP14" s="153"/>
      <c r="AQ14" s="153"/>
      <c r="AT14" s="177">
        <v>305</v>
      </c>
      <c r="AU14" s="174" t="s">
        <v>147</v>
      </c>
      <c r="AV14" s="175"/>
      <c r="AW14" s="175">
        <f>-(4680+600)</f>
        <v>-5280</v>
      </c>
      <c r="AX14" s="183">
        <f t="shared" si="6"/>
        <v>-5280</v>
      </c>
      <c r="AZ14" s="151"/>
      <c r="BB14" s="153"/>
      <c r="BC14" s="153"/>
      <c r="BF14" s="177">
        <v>305</v>
      </c>
      <c r="BG14" s="174" t="s">
        <v>46</v>
      </c>
      <c r="BH14" s="175"/>
      <c r="BI14" s="175">
        <f>-(BO9*70*2+500)*1.11</f>
        <v>-6149.4000000000005</v>
      </c>
      <c r="BJ14" s="183">
        <f t="shared" si="7"/>
        <v>-6149.4000000000005</v>
      </c>
      <c r="BL14" s="151"/>
      <c r="BN14" s="153"/>
      <c r="BO14" s="153"/>
      <c r="BT14" s="177">
        <v>305</v>
      </c>
      <c r="BU14" s="184" t="s">
        <v>148</v>
      </c>
      <c r="BV14" s="175"/>
      <c r="BW14" s="175">
        <f>-(CC9*70*2+500)</f>
        <v>-5540</v>
      </c>
      <c r="BX14" s="183">
        <f t="shared" si="8"/>
        <v>-5540</v>
      </c>
      <c r="BZ14" s="151"/>
      <c r="CB14" s="153"/>
      <c r="CC14" s="153"/>
    </row>
    <row r="15" spans="1:82" x14ac:dyDescent="0.2">
      <c r="A15" s="177"/>
      <c r="B15" s="174" t="s">
        <v>149</v>
      </c>
      <c r="C15" s="185">
        <v>14400</v>
      </c>
      <c r="D15" s="175"/>
      <c r="E15" s="180">
        <f t="shared" si="0"/>
        <v>14400</v>
      </c>
      <c r="G15" s="186">
        <v>12950</v>
      </c>
      <c r="H15" s="177"/>
      <c r="I15" s="187" t="s">
        <v>150</v>
      </c>
      <c r="J15" s="175">
        <f>800*36</f>
        <v>28800</v>
      </c>
      <c r="K15" s="175"/>
      <c r="L15" s="180">
        <f t="shared" si="1"/>
        <v>28800</v>
      </c>
      <c r="N15" s="177">
        <v>304</v>
      </c>
      <c r="O15" s="174" t="s">
        <v>151</v>
      </c>
      <c r="P15" s="175">
        <v>18000</v>
      </c>
      <c r="Q15" s="175"/>
      <c r="R15" s="181">
        <f t="shared" si="2"/>
        <v>18000</v>
      </c>
      <c r="T15" s="177">
        <v>306</v>
      </c>
      <c r="U15" s="174" t="s">
        <v>152</v>
      </c>
      <c r="V15" s="175">
        <f>500*36</f>
        <v>18000</v>
      </c>
      <c r="W15" s="175"/>
      <c r="X15" s="176">
        <f t="shared" si="3"/>
        <v>18000</v>
      </c>
      <c r="AA15" s="177">
        <v>306</v>
      </c>
      <c r="AB15" s="174" t="s">
        <v>153</v>
      </c>
      <c r="AC15" s="175">
        <v>36000</v>
      </c>
      <c r="AD15" s="175"/>
      <c r="AE15" s="181">
        <f t="shared" si="4"/>
        <v>36000</v>
      </c>
      <c r="AH15" s="177">
        <v>306</v>
      </c>
      <c r="AI15" s="174" t="s">
        <v>154</v>
      </c>
      <c r="AJ15" s="175">
        <f>AQ9*AQ17</f>
        <v>26948</v>
      </c>
      <c r="AK15" s="175"/>
      <c r="AL15" s="188">
        <f t="shared" si="5"/>
        <v>26948</v>
      </c>
      <c r="AN15" s="151"/>
      <c r="AP15" s="153"/>
      <c r="AQ15" s="153"/>
      <c r="AT15" s="177">
        <v>306</v>
      </c>
      <c r="AU15" s="174" t="s">
        <v>155</v>
      </c>
      <c r="AV15" s="175">
        <f>BC9*BC17</f>
        <v>24680</v>
      </c>
      <c r="AW15" s="175"/>
      <c r="AX15" s="188">
        <f t="shared" si="6"/>
        <v>24680</v>
      </c>
      <c r="AZ15" s="151"/>
      <c r="BB15" s="153"/>
      <c r="BC15" s="153"/>
      <c r="BF15" s="177">
        <v>306</v>
      </c>
      <c r="BG15" s="174" t="s">
        <v>156</v>
      </c>
      <c r="BH15" s="175">
        <f>BO9*BP17</f>
        <v>30600</v>
      </c>
      <c r="BI15" s="175"/>
      <c r="BJ15" s="188">
        <f t="shared" si="7"/>
        <v>30600</v>
      </c>
      <c r="BL15" s="151"/>
      <c r="BN15" s="153"/>
      <c r="BO15" s="153"/>
      <c r="BT15" s="177">
        <v>306</v>
      </c>
      <c r="BU15" s="184" t="s">
        <v>157</v>
      </c>
      <c r="BV15" s="175">
        <f>CC9*CD17</f>
        <v>21960</v>
      </c>
      <c r="BW15" s="175"/>
      <c r="BX15" s="188">
        <f t="shared" si="8"/>
        <v>21960</v>
      </c>
      <c r="BZ15" s="151"/>
      <c r="CB15" s="153"/>
      <c r="CC15" s="153"/>
    </row>
    <row r="16" spans="1:82" ht="13.5" thickBot="1" x14ac:dyDescent="0.25">
      <c r="A16" s="177"/>
      <c r="B16" s="174"/>
      <c r="C16" s="175"/>
      <c r="D16" s="175"/>
      <c r="E16" s="180">
        <f t="shared" si="0"/>
        <v>0</v>
      </c>
      <c r="H16" s="177"/>
      <c r="I16" s="174" t="s">
        <v>137</v>
      </c>
      <c r="J16" s="175"/>
      <c r="K16" s="175">
        <v>-1600</v>
      </c>
      <c r="L16" s="180">
        <f t="shared" si="1"/>
        <v>-1600</v>
      </c>
      <c r="N16" s="177">
        <v>305</v>
      </c>
      <c r="O16" s="174" t="s">
        <v>137</v>
      </c>
      <c r="P16" s="175"/>
      <c r="Q16" s="175">
        <v>-1600</v>
      </c>
      <c r="R16" s="181">
        <f t="shared" si="2"/>
        <v>-1600</v>
      </c>
      <c r="T16" s="189">
        <v>307</v>
      </c>
      <c r="U16" s="190" t="s">
        <v>158</v>
      </c>
      <c r="V16" s="191">
        <v>0</v>
      </c>
      <c r="W16" s="174"/>
      <c r="X16" s="192">
        <f>SUM(V17:W17)</f>
        <v>0</v>
      </c>
      <c r="AA16" s="189">
        <v>307</v>
      </c>
      <c r="AB16" s="174" t="s">
        <v>137</v>
      </c>
      <c r="AC16" s="175"/>
      <c r="AD16" s="175">
        <v>-1600</v>
      </c>
      <c r="AE16" s="181">
        <f t="shared" si="4"/>
        <v>-1600</v>
      </c>
      <c r="AH16" s="189">
        <v>307</v>
      </c>
      <c r="AI16" s="174" t="s">
        <v>48</v>
      </c>
      <c r="AJ16" s="175"/>
      <c r="AK16" s="175">
        <v>0</v>
      </c>
      <c r="AL16" s="188">
        <f t="shared" si="5"/>
        <v>0</v>
      </c>
      <c r="AN16" s="151"/>
      <c r="AP16" s="153"/>
      <c r="AQ16" s="153"/>
      <c r="AT16" s="189">
        <v>307</v>
      </c>
      <c r="AU16" s="174" t="s">
        <v>48</v>
      </c>
      <c r="AV16" s="175"/>
      <c r="AW16" s="175">
        <v>0</v>
      </c>
      <c r="AX16" s="188">
        <f t="shared" si="6"/>
        <v>0</v>
      </c>
      <c r="AZ16" s="151"/>
      <c r="BB16" s="153"/>
      <c r="BC16" s="153"/>
      <c r="BF16" s="189">
        <v>307</v>
      </c>
      <c r="BG16" s="174" t="s">
        <v>48</v>
      </c>
      <c r="BH16" s="175">
        <v>0</v>
      </c>
      <c r="BI16" s="175"/>
      <c r="BJ16" s="188">
        <f t="shared" si="7"/>
        <v>0</v>
      </c>
      <c r="BL16" s="151"/>
      <c r="BN16" s="153"/>
      <c r="BO16" s="153"/>
      <c r="BT16" s="189">
        <v>307</v>
      </c>
      <c r="BU16" s="174" t="s">
        <v>48</v>
      </c>
      <c r="BV16" s="175">
        <v>0</v>
      </c>
      <c r="BW16" s="175"/>
      <c r="BX16" s="188">
        <f t="shared" si="8"/>
        <v>0</v>
      </c>
      <c r="BZ16" s="151"/>
      <c r="CB16" s="153"/>
      <c r="CC16" s="153"/>
    </row>
    <row r="17" spans="1:82" ht="13.5" thickBot="1" x14ac:dyDescent="0.25">
      <c r="A17" s="189"/>
      <c r="B17" s="193"/>
      <c r="C17" s="194"/>
      <c r="D17" s="194"/>
      <c r="E17" s="195">
        <f t="shared" si="0"/>
        <v>0</v>
      </c>
      <c r="H17" s="189"/>
      <c r="I17" s="193" t="s">
        <v>159</v>
      </c>
      <c r="J17" s="194"/>
      <c r="K17" s="194">
        <v>-1400</v>
      </c>
      <c r="L17" s="195">
        <f t="shared" si="1"/>
        <v>-1400</v>
      </c>
      <c r="N17" s="189">
        <v>306</v>
      </c>
      <c r="O17" s="193" t="s">
        <v>159</v>
      </c>
      <c r="P17" s="194"/>
      <c r="Q17" s="194">
        <v>-1400</v>
      </c>
      <c r="R17" s="196">
        <f t="shared" si="2"/>
        <v>-1400</v>
      </c>
      <c r="T17" s="189">
        <v>308</v>
      </c>
      <c r="U17" s="193" t="s">
        <v>159</v>
      </c>
      <c r="V17" s="194"/>
      <c r="W17" s="194">
        <v>0</v>
      </c>
      <c r="X17" s="192">
        <f>SUM(V18:W18)</f>
        <v>0</v>
      </c>
      <c r="AA17" s="189">
        <v>308</v>
      </c>
      <c r="AB17" s="193" t="s">
        <v>159</v>
      </c>
      <c r="AC17" s="194"/>
      <c r="AD17" s="194">
        <v>-1400</v>
      </c>
      <c r="AE17" s="196">
        <f t="shared" si="4"/>
        <v>-1400</v>
      </c>
      <c r="AH17" s="189">
        <v>308</v>
      </c>
      <c r="AI17" s="193" t="s">
        <v>159</v>
      </c>
      <c r="AJ17" s="194"/>
      <c r="AK17" s="194">
        <v>-1400</v>
      </c>
      <c r="AL17" s="197">
        <f t="shared" si="5"/>
        <v>-1400</v>
      </c>
      <c r="AN17" s="151"/>
      <c r="AP17" s="152" t="s">
        <v>50</v>
      </c>
      <c r="AQ17" s="198">
        <f>(ABS(SUM(AK10:AK17))-AN9)/AQ9</f>
        <v>748.55555555555554</v>
      </c>
      <c r="AT17" s="189">
        <v>308</v>
      </c>
      <c r="AU17" s="193" t="s">
        <v>159</v>
      </c>
      <c r="AV17" s="194"/>
      <c r="AW17" s="194">
        <v>-1400</v>
      </c>
      <c r="AX17" s="197">
        <f t="shared" si="6"/>
        <v>-1400</v>
      </c>
      <c r="AZ17" s="151"/>
      <c r="BB17" s="152" t="s">
        <v>50</v>
      </c>
      <c r="BC17" s="198">
        <f>(ABS(SUM(AW10:AW17))-AZ9)/BC9</f>
        <v>685.55555555555554</v>
      </c>
      <c r="BF17" s="189">
        <v>308</v>
      </c>
      <c r="BG17" s="199" t="s">
        <v>49</v>
      </c>
      <c r="BH17" s="194"/>
      <c r="BI17" s="194">
        <f>-(20*BO9*2)*1.11</f>
        <v>-1598.4</v>
      </c>
      <c r="BJ17" s="197">
        <f t="shared" si="7"/>
        <v>-1598.4</v>
      </c>
      <c r="BL17" s="151"/>
      <c r="BN17" s="152" t="s">
        <v>50</v>
      </c>
      <c r="BO17" s="198">
        <f>(ABS(SUM(BI10:BI17))-BL9)/BO9</f>
        <v>850.74444444444453</v>
      </c>
      <c r="BP17" s="200">
        <v>850</v>
      </c>
      <c r="BT17" s="189">
        <v>308</v>
      </c>
      <c r="BU17" s="199" t="s">
        <v>49</v>
      </c>
      <c r="BV17" s="194"/>
      <c r="BW17" s="194">
        <f>-(20*CC9*2)</f>
        <v>-1440</v>
      </c>
      <c r="BX17" s="197">
        <f t="shared" si="8"/>
        <v>-1440</v>
      </c>
      <c r="BZ17" s="151"/>
      <c r="CB17" s="152" t="s">
        <v>50</v>
      </c>
      <c r="CC17" s="198">
        <f>(ABS(SUM(BW10:BW17))-BZ9)/CC9</f>
        <v>607.77777777777783</v>
      </c>
      <c r="CD17" s="200">
        <v>610</v>
      </c>
    </row>
    <row r="18" spans="1:82" ht="13.5" thickBot="1" x14ac:dyDescent="0.25">
      <c r="E18" s="201">
        <f>SUM(E10:E17)</f>
        <v>-14060</v>
      </c>
      <c r="F18" s="148">
        <v>-14600</v>
      </c>
      <c r="G18" s="148">
        <f>SUM(G10:G17)</f>
        <v>-7968</v>
      </c>
      <c r="L18" s="201">
        <f>SUM(L10:L17)</f>
        <v>-19660</v>
      </c>
      <c r="P18" s="148"/>
      <c r="Q18" s="148"/>
      <c r="R18" s="202">
        <f>SUM(R10:R17)</f>
        <v>-30460</v>
      </c>
      <c r="V18" s="148"/>
      <c r="W18" s="148"/>
      <c r="X18" s="201">
        <f>SUM(X10:X16)</f>
        <v>-14080</v>
      </c>
      <c r="AB18" s="190" t="s">
        <v>160</v>
      </c>
      <c r="AC18" s="148"/>
      <c r="AD18" s="148"/>
      <c r="AE18" s="201">
        <f>SUM(AE10:AE17)</f>
        <v>-15280</v>
      </c>
      <c r="AI18" s="190" t="s">
        <v>160</v>
      </c>
      <c r="AJ18" s="148"/>
      <c r="AK18" s="148"/>
      <c r="AL18" s="201">
        <f>SUM(AL10:AL17)</f>
        <v>-9000</v>
      </c>
      <c r="AN18" s="151"/>
      <c r="AP18" s="152" t="s">
        <v>69</v>
      </c>
      <c r="AQ18" s="153"/>
      <c r="AU18" s="190" t="s">
        <v>160</v>
      </c>
      <c r="AV18" s="148"/>
      <c r="AW18" s="148"/>
      <c r="AX18" s="201">
        <f>SUM(AX10:AX17)</f>
        <v>-3000</v>
      </c>
      <c r="AZ18" s="151"/>
      <c r="BB18" s="152" t="s">
        <v>69</v>
      </c>
      <c r="BC18" s="153"/>
      <c r="BG18" s="190"/>
      <c r="BH18" s="203">
        <f>SUM(BH10:BH17)</f>
        <v>30600</v>
      </c>
      <c r="BI18" s="203">
        <f>SUM(BI10:BI17)</f>
        <v>-41626.800000000003</v>
      </c>
      <c r="BJ18" s="201">
        <f>SUM(BJ10:BJ17)</f>
        <v>-11026.800000000001</v>
      </c>
      <c r="BL18" s="151"/>
      <c r="BN18" s="152" t="s">
        <v>51</v>
      </c>
      <c r="BO18" s="204">
        <f>-(BI14+BI17)/BO9</f>
        <v>215.2166666666667</v>
      </c>
      <c r="BU18" s="190"/>
      <c r="BV18" s="203">
        <f>SUM(BV10:BV17)</f>
        <v>21960</v>
      </c>
      <c r="BW18" s="203">
        <f>SUM(BW10:BW17)</f>
        <v>-25880</v>
      </c>
      <c r="BX18" s="201">
        <f>SUM(BX10:BX17)</f>
        <v>-3920</v>
      </c>
      <c r="BZ18" s="151"/>
      <c r="CB18" s="152" t="s">
        <v>51</v>
      </c>
      <c r="CC18" s="204">
        <f>-(BW14+BW17)/CC9</f>
        <v>193.88888888888889</v>
      </c>
    </row>
    <row r="19" spans="1:82" ht="13.5" thickBot="1" x14ac:dyDescent="0.25">
      <c r="N19" s="205"/>
      <c r="O19" s="205" t="s">
        <v>161</v>
      </c>
      <c r="P19" s="206"/>
      <c r="Q19" s="206"/>
      <c r="R19" s="207"/>
      <c r="V19" s="148"/>
      <c r="W19" s="148"/>
      <c r="AC19" s="148"/>
      <c r="AD19" s="148"/>
      <c r="AJ19" s="148"/>
      <c r="AK19" s="148"/>
      <c r="AN19" s="151"/>
      <c r="AP19" s="153"/>
      <c r="AQ19" s="153"/>
      <c r="AV19" s="148"/>
      <c r="AW19" s="148"/>
      <c r="AZ19" s="151"/>
      <c r="BB19" s="153"/>
      <c r="BC19" s="153"/>
      <c r="BH19" s="148"/>
      <c r="BI19" s="148"/>
      <c r="BL19" s="151"/>
      <c r="BN19" s="153"/>
      <c r="BO19" s="153"/>
      <c r="BV19" s="148"/>
      <c r="BW19" s="148"/>
      <c r="BZ19" s="151"/>
      <c r="CB19" s="153"/>
      <c r="CC19" s="153"/>
    </row>
    <row r="20" spans="1:82" x14ac:dyDescent="0.2">
      <c r="V20" s="148"/>
      <c r="W20" s="148"/>
      <c r="AC20" s="148"/>
      <c r="AD20" s="148"/>
      <c r="AJ20" s="148"/>
      <c r="AK20" s="148"/>
      <c r="AN20" s="151"/>
      <c r="AP20" s="153"/>
      <c r="AQ20" s="153"/>
      <c r="AV20" s="148"/>
      <c r="AW20" s="148"/>
      <c r="AZ20" s="151"/>
      <c r="BB20" s="153"/>
      <c r="BC20" s="153"/>
      <c r="BH20" s="148"/>
      <c r="BI20" s="148"/>
      <c r="BL20" s="151"/>
      <c r="BN20" s="153"/>
      <c r="BO20" s="153"/>
      <c r="BV20" s="148"/>
      <c r="BW20" s="148"/>
      <c r="BZ20" s="151"/>
      <c r="CB20" s="153"/>
      <c r="CC20" s="153"/>
    </row>
    <row r="21" spans="1:82" ht="20.25" x14ac:dyDescent="0.3">
      <c r="B21" s="155" t="s">
        <v>162</v>
      </c>
      <c r="I21" s="155" t="s">
        <v>163</v>
      </c>
      <c r="O21" s="155" t="s">
        <v>164</v>
      </c>
      <c r="P21" s="148"/>
      <c r="Q21" s="148"/>
      <c r="U21" s="155" t="s">
        <v>165</v>
      </c>
      <c r="V21" s="148"/>
      <c r="W21" s="148"/>
      <c r="Z21" s="149"/>
      <c r="AB21" s="155" t="s">
        <v>166</v>
      </c>
      <c r="AC21" s="148"/>
      <c r="AD21" s="148"/>
      <c r="AI21" s="155" t="s">
        <v>167</v>
      </c>
      <c r="AJ21" s="148"/>
      <c r="AK21" s="148"/>
      <c r="AN21" s="151"/>
      <c r="AP21" s="153"/>
      <c r="AQ21" s="153"/>
      <c r="AU21" s="155" t="s">
        <v>168</v>
      </c>
      <c r="AV21" s="148"/>
      <c r="AW21" s="148"/>
      <c r="AZ21" s="151"/>
      <c r="BB21" s="153"/>
      <c r="BC21" s="153"/>
      <c r="BG21" s="155" t="s">
        <v>169</v>
      </c>
      <c r="BH21" s="148"/>
      <c r="BI21" s="148"/>
      <c r="BL21" s="151"/>
      <c r="BN21" s="153"/>
      <c r="BO21" s="153"/>
      <c r="BU21" s="155" t="s">
        <v>170</v>
      </c>
      <c r="BV21" s="148"/>
      <c r="BW21" s="148"/>
      <c r="BZ21" s="151"/>
      <c r="CB21" s="153"/>
      <c r="CC21" s="153"/>
    </row>
    <row r="22" spans="1:82" ht="13.5" thickBot="1" x14ac:dyDescent="0.25">
      <c r="P22" s="148"/>
      <c r="Q22" s="148"/>
      <c r="V22" s="148"/>
      <c r="W22" s="148"/>
      <c r="AC22" s="148"/>
      <c r="AD22" s="148"/>
      <c r="AJ22" s="148"/>
      <c r="AK22" s="148"/>
      <c r="AN22" s="151"/>
      <c r="AP22" s="153"/>
      <c r="AQ22" s="153"/>
      <c r="AV22" s="148"/>
      <c r="AW22" s="148"/>
      <c r="AZ22" s="151"/>
      <c r="BB22" s="153"/>
      <c r="BC22" s="153"/>
      <c r="BH22" s="148"/>
      <c r="BI22" s="148"/>
      <c r="BL22" s="151"/>
      <c r="BN22" s="153"/>
      <c r="BO22" s="153"/>
      <c r="BV22" s="148"/>
      <c r="BW22" s="148"/>
      <c r="BZ22" s="151"/>
      <c r="CB22" s="153"/>
      <c r="CC22" s="153"/>
    </row>
    <row r="23" spans="1:82" ht="18.75" thickBot="1" x14ac:dyDescent="0.3">
      <c r="A23" s="156" t="s">
        <v>36</v>
      </c>
      <c r="B23" s="157" t="s">
        <v>37</v>
      </c>
      <c r="C23" s="158" t="s">
        <v>38</v>
      </c>
      <c r="D23" s="158" t="s">
        <v>39</v>
      </c>
      <c r="E23" s="159" t="s">
        <v>40</v>
      </c>
      <c r="G23" s="148" t="s">
        <v>171</v>
      </c>
      <c r="H23" s="156" t="s">
        <v>36</v>
      </c>
      <c r="I23" s="157" t="s">
        <v>37</v>
      </c>
      <c r="J23" s="158" t="s">
        <v>38</v>
      </c>
      <c r="K23" s="158" t="s">
        <v>39</v>
      </c>
      <c r="L23" s="159" t="s">
        <v>40</v>
      </c>
      <c r="N23" s="156" t="s">
        <v>36</v>
      </c>
      <c r="O23" s="157" t="s">
        <v>37</v>
      </c>
      <c r="P23" s="158" t="s">
        <v>38</v>
      </c>
      <c r="Q23" s="158" t="s">
        <v>39</v>
      </c>
      <c r="R23" s="160" t="s">
        <v>40</v>
      </c>
      <c r="T23" s="156" t="s">
        <v>36</v>
      </c>
      <c r="U23" s="157" t="s">
        <v>37</v>
      </c>
      <c r="V23" s="158" t="s">
        <v>38</v>
      </c>
      <c r="W23" s="158" t="s">
        <v>39</v>
      </c>
      <c r="X23" s="159" t="s">
        <v>40</v>
      </c>
      <c r="AA23" s="156" t="s">
        <v>36</v>
      </c>
      <c r="AB23" s="157" t="s">
        <v>37</v>
      </c>
      <c r="AC23" s="158" t="s">
        <v>38</v>
      </c>
      <c r="AD23" s="158" t="s">
        <v>39</v>
      </c>
      <c r="AE23" s="159" t="s">
        <v>40</v>
      </c>
      <c r="AH23" s="156" t="s">
        <v>36</v>
      </c>
      <c r="AI23" s="157" t="s">
        <v>37</v>
      </c>
      <c r="AJ23" s="158" t="s">
        <v>38</v>
      </c>
      <c r="AK23" s="158" t="s">
        <v>39</v>
      </c>
      <c r="AL23" s="159" t="s">
        <v>40</v>
      </c>
      <c r="AN23" s="151">
        <v>9000</v>
      </c>
      <c r="AP23" s="152" t="s">
        <v>41</v>
      </c>
      <c r="AQ23" s="161">
        <v>60</v>
      </c>
      <c r="AT23" s="156" t="s">
        <v>36</v>
      </c>
      <c r="AU23" s="157" t="s">
        <v>37</v>
      </c>
      <c r="AV23" s="158" t="s">
        <v>38</v>
      </c>
      <c r="AW23" s="158" t="s">
        <v>39</v>
      </c>
      <c r="AX23" s="159" t="s">
        <v>40</v>
      </c>
      <c r="AZ23" s="151">
        <v>20000</v>
      </c>
      <c r="BB23" s="152" t="s">
        <v>41</v>
      </c>
      <c r="BC23" s="161">
        <v>60</v>
      </c>
      <c r="BF23" s="156" t="s">
        <v>36</v>
      </c>
      <c r="BG23" s="157" t="s">
        <v>37</v>
      </c>
      <c r="BH23" s="158" t="s">
        <v>38</v>
      </c>
      <c r="BI23" s="158" t="s">
        <v>39</v>
      </c>
      <c r="BJ23" s="159" t="s">
        <v>40</v>
      </c>
      <c r="BL23" s="151">
        <v>9000</v>
      </c>
      <c r="BM23" s="146">
        <v>18500</v>
      </c>
      <c r="BN23" s="152" t="s">
        <v>41</v>
      </c>
      <c r="BO23" s="161">
        <v>60</v>
      </c>
      <c r="BT23" s="156" t="s">
        <v>36</v>
      </c>
      <c r="BU23" s="157" t="s">
        <v>37</v>
      </c>
      <c r="BV23" s="158" t="s">
        <v>38</v>
      </c>
      <c r="BW23" s="158" t="s">
        <v>39</v>
      </c>
      <c r="BX23" s="159" t="s">
        <v>40</v>
      </c>
      <c r="BZ23" s="151">
        <v>7000</v>
      </c>
      <c r="CA23" s="146">
        <v>18500</v>
      </c>
      <c r="CB23" s="152" t="s">
        <v>41</v>
      </c>
      <c r="CC23" s="161">
        <v>60</v>
      </c>
    </row>
    <row r="24" spans="1:82" x14ac:dyDescent="0.2">
      <c r="A24" s="162"/>
      <c r="B24" s="163" t="s">
        <v>172</v>
      </c>
      <c r="C24" s="165"/>
      <c r="D24" s="165">
        <v>-16000</v>
      </c>
      <c r="E24" s="166">
        <f>SUM(C24:D24)</f>
        <v>-16000</v>
      </c>
      <c r="G24" s="148">
        <v>-16430</v>
      </c>
      <c r="H24" s="162"/>
      <c r="I24" s="163" t="s">
        <v>173</v>
      </c>
      <c r="J24" s="165"/>
      <c r="K24" s="165">
        <v>0</v>
      </c>
      <c r="L24" s="166">
        <f>SUM(J24:K24)</f>
        <v>0</v>
      </c>
      <c r="N24" s="162">
        <v>401</v>
      </c>
      <c r="O24" s="163" t="s">
        <v>173</v>
      </c>
      <c r="P24" s="165"/>
      <c r="Q24" s="165">
        <v>0</v>
      </c>
      <c r="R24" s="169">
        <f>SUM(P24:Q24)</f>
        <v>0</v>
      </c>
      <c r="T24" s="162">
        <v>401</v>
      </c>
      <c r="U24" s="163" t="s">
        <v>53</v>
      </c>
      <c r="V24" s="165"/>
      <c r="W24" s="165">
        <v>-12000</v>
      </c>
      <c r="X24" s="208">
        <f>SUM(V24:W24)</f>
        <v>-12000</v>
      </c>
      <c r="AA24" s="162">
        <v>401</v>
      </c>
      <c r="AB24" s="163" t="s">
        <v>53</v>
      </c>
      <c r="AC24" s="165"/>
      <c r="AD24" s="165">
        <v>-7500</v>
      </c>
      <c r="AE24" s="208">
        <f t="shared" ref="AE24:AE30" si="9">SUM(AC24:AD24)</f>
        <v>-7500</v>
      </c>
      <c r="AH24" s="162">
        <v>401</v>
      </c>
      <c r="AI24" s="163" t="s">
        <v>53</v>
      </c>
      <c r="AJ24" s="165"/>
      <c r="AK24" s="209">
        <v>-11554</v>
      </c>
      <c r="AL24" s="208">
        <f t="shared" ref="AL24:AL30" si="10">SUM(AJ24:AK24)</f>
        <v>-11554</v>
      </c>
      <c r="AN24" s="151"/>
      <c r="AP24" s="153"/>
      <c r="AQ24" s="153"/>
      <c r="AT24" s="162">
        <v>401</v>
      </c>
      <c r="AU24" s="163" t="s">
        <v>174</v>
      </c>
      <c r="AV24" s="165"/>
      <c r="AW24" s="209">
        <v>-30000</v>
      </c>
      <c r="AX24" s="208">
        <f t="shared" ref="AX24:AX30" si="11">SUM(AV24:AW24)</f>
        <v>-30000</v>
      </c>
      <c r="AZ24" s="151"/>
      <c r="BB24" s="153"/>
      <c r="BC24" s="153"/>
      <c r="BF24" s="162">
        <v>401</v>
      </c>
      <c r="BG24" s="163" t="s">
        <v>53</v>
      </c>
      <c r="BH24" s="165"/>
      <c r="BI24" s="209">
        <v>-16000</v>
      </c>
      <c r="BJ24" s="208">
        <f t="shared" ref="BJ24:BJ30" si="12">SUM(BH24:BI24)</f>
        <v>-16000</v>
      </c>
      <c r="BL24" s="151"/>
      <c r="BN24" s="153"/>
      <c r="BO24" s="153"/>
      <c r="BT24" s="162">
        <v>401</v>
      </c>
      <c r="BU24" s="163" t="s">
        <v>53</v>
      </c>
      <c r="BV24" s="165"/>
      <c r="BW24" s="209">
        <v>-16000</v>
      </c>
      <c r="BX24" s="208">
        <f t="shared" ref="BX24:BX30" si="13">SUM(BV24:BW24)</f>
        <v>-16000</v>
      </c>
      <c r="BZ24" s="151"/>
      <c r="CB24" s="153"/>
      <c r="CC24" s="153"/>
    </row>
    <row r="25" spans="1:82" x14ac:dyDescent="0.2">
      <c r="A25" s="162"/>
      <c r="B25" s="163" t="s">
        <v>54</v>
      </c>
      <c r="C25" s="165"/>
      <c r="D25" s="165">
        <v>-1200</v>
      </c>
      <c r="E25" s="166"/>
      <c r="G25" s="148">
        <v>-790</v>
      </c>
      <c r="H25" s="162"/>
      <c r="I25" s="163" t="s">
        <v>54</v>
      </c>
      <c r="J25" s="165"/>
      <c r="K25" s="165">
        <v>0</v>
      </c>
      <c r="L25" s="166"/>
      <c r="N25" s="162">
        <v>402</v>
      </c>
      <c r="O25" s="163" t="s">
        <v>54</v>
      </c>
      <c r="P25" s="165"/>
      <c r="Q25" s="165">
        <v>0</v>
      </c>
      <c r="R25" s="169"/>
      <c r="T25" s="162">
        <v>402</v>
      </c>
      <c r="U25" s="163" t="s">
        <v>175</v>
      </c>
      <c r="V25" s="165"/>
      <c r="W25" s="165">
        <v>-800</v>
      </c>
      <c r="X25" s="170">
        <f>SUM(V25:W25)</f>
        <v>-800</v>
      </c>
      <c r="AA25" s="162">
        <v>402</v>
      </c>
      <c r="AB25" s="163" t="s">
        <v>175</v>
      </c>
      <c r="AC25" s="165"/>
      <c r="AD25" s="165">
        <v>0</v>
      </c>
      <c r="AE25" s="170">
        <f t="shared" si="9"/>
        <v>0</v>
      </c>
      <c r="AH25" s="162">
        <v>402</v>
      </c>
      <c r="AI25" s="163" t="s">
        <v>54</v>
      </c>
      <c r="AJ25" s="165"/>
      <c r="AK25" s="165">
        <v>-1200</v>
      </c>
      <c r="AL25" s="170">
        <f t="shared" si="10"/>
        <v>-1200</v>
      </c>
      <c r="AN25" s="151"/>
      <c r="AP25" s="153"/>
      <c r="AQ25" s="153"/>
      <c r="AT25" s="162">
        <v>402</v>
      </c>
      <c r="AU25" s="163" t="s">
        <v>176</v>
      </c>
      <c r="AV25" s="165"/>
      <c r="AW25" s="165">
        <v>-1800</v>
      </c>
      <c r="AX25" s="170">
        <f t="shared" si="11"/>
        <v>-1800</v>
      </c>
      <c r="AZ25" s="151"/>
      <c r="BB25" s="153"/>
      <c r="BC25" s="153"/>
      <c r="BF25" s="162">
        <v>402</v>
      </c>
      <c r="BG25" s="163" t="s">
        <v>54</v>
      </c>
      <c r="BH25" s="165"/>
      <c r="BI25" s="165">
        <v>-1200</v>
      </c>
      <c r="BJ25" s="170">
        <f t="shared" si="12"/>
        <v>-1200</v>
      </c>
      <c r="BL25" s="151"/>
      <c r="BN25" s="153"/>
      <c r="BO25" s="153"/>
      <c r="BT25" s="162">
        <v>402</v>
      </c>
      <c r="BU25" s="163" t="s">
        <v>54</v>
      </c>
      <c r="BV25" s="165"/>
      <c r="BW25" s="165">
        <v>-2000</v>
      </c>
      <c r="BX25" s="170">
        <f t="shared" si="13"/>
        <v>-2000</v>
      </c>
      <c r="BZ25" s="151"/>
      <c r="CB25" s="153"/>
      <c r="CC25" s="153"/>
    </row>
    <row r="26" spans="1:82" x14ac:dyDescent="0.2">
      <c r="A26" s="177"/>
      <c r="B26" s="174" t="s">
        <v>177</v>
      </c>
      <c r="C26" s="175"/>
      <c r="D26" s="175">
        <v>-22500</v>
      </c>
      <c r="E26" s="180">
        <f>SUM(C26:D26)</f>
        <v>-22500</v>
      </c>
      <c r="G26" s="148">
        <v>-26460</v>
      </c>
      <c r="H26" s="177"/>
      <c r="I26" s="174" t="s">
        <v>178</v>
      </c>
      <c r="J26" s="175"/>
      <c r="K26" s="175">
        <v>-21000</v>
      </c>
      <c r="L26" s="180">
        <f>SUM(J26:K26)</f>
        <v>-21000</v>
      </c>
      <c r="M26" s="146">
        <f>54*350</f>
        <v>18900</v>
      </c>
      <c r="N26" s="177">
        <v>403</v>
      </c>
      <c r="O26" s="174" t="s">
        <v>178</v>
      </c>
      <c r="P26" s="175"/>
      <c r="Q26" s="175">
        <v>-21000</v>
      </c>
      <c r="R26" s="181">
        <f>SUM(P26:Q26)</f>
        <v>-21000</v>
      </c>
      <c r="T26" s="177">
        <v>403</v>
      </c>
      <c r="U26" s="174" t="s">
        <v>179</v>
      </c>
      <c r="V26" s="175"/>
      <c r="W26" s="210">
        <f>-365*60</f>
        <v>-21900</v>
      </c>
      <c r="X26" s="211">
        <f t="shared" ref="X26:X31" si="14">SUM(V26:W26)</f>
        <v>-21900</v>
      </c>
      <c r="AA26" s="177">
        <v>403</v>
      </c>
      <c r="AB26" s="174" t="s">
        <v>179</v>
      </c>
      <c r="AC26" s="175"/>
      <c r="AD26" s="210">
        <f>-365*60</f>
        <v>-21900</v>
      </c>
      <c r="AE26" s="211">
        <f t="shared" si="9"/>
        <v>-21900</v>
      </c>
      <c r="AH26" s="177">
        <v>403</v>
      </c>
      <c r="AI26" s="174" t="s">
        <v>179</v>
      </c>
      <c r="AJ26" s="175"/>
      <c r="AK26" s="210">
        <f>-365*60</f>
        <v>-21900</v>
      </c>
      <c r="AL26" s="211">
        <f t="shared" si="10"/>
        <v>-21900</v>
      </c>
      <c r="AN26" s="151"/>
      <c r="AP26" s="153"/>
      <c r="AQ26" s="153"/>
      <c r="AT26" s="177">
        <v>403</v>
      </c>
      <c r="AU26" s="174" t="s">
        <v>180</v>
      </c>
      <c r="AV26" s="175"/>
      <c r="AW26" s="210">
        <f>-400*60</f>
        <v>-24000</v>
      </c>
      <c r="AX26" s="211">
        <f t="shared" si="11"/>
        <v>-24000</v>
      </c>
      <c r="AZ26" s="151"/>
      <c r="BB26" s="153"/>
      <c r="BC26" s="153"/>
      <c r="BF26" s="177">
        <v>403</v>
      </c>
      <c r="BG26" s="174" t="s">
        <v>181</v>
      </c>
      <c r="BH26" s="175"/>
      <c r="BI26" s="210">
        <f>-700*60</f>
        <v>-42000</v>
      </c>
      <c r="BJ26" s="211">
        <f t="shared" si="12"/>
        <v>-42000</v>
      </c>
      <c r="BL26" s="151"/>
      <c r="BN26" s="153"/>
      <c r="BO26" s="153"/>
      <c r="BT26" s="177">
        <v>403</v>
      </c>
      <c r="BU26" s="184" t="s">
        <v>55</v>
      </c>
      <c r="BV26" s="175"/>
      <c r="BW26" s="210">
        <f>-700*60</f>
        <v>-42000</v>
      </c>
      <c r="BX26" s="211">
        <f t="shared" si="13"/>
        <v>-42000</v>
      </c>
      <c r="BZ26" s="151"/>
      <c r="CB26" s="153"/>
      <c r="CC26" s="153"/>
    </row>
    <row r="27" spans="1:82" x14ac:dyDescent="0.2">
      <c r="A27" s="177"/>
      <c r="B27" s="174"/>
      <c r="C27" s="175"/>
      <c r="D27" s="175"/>
      <c r="E27" s="180"/>
      <c r="H27" s="177"/>
      <c r="I27" s="174"/>
      <c r="J27" s="175"/>
      <c r="K27" s="175"/>
      <c r="L27" s="180"/>
      <c r="N27" s="177"/>
      <c r="O27" s="174"/>
      <c r="P27" s="175"/>
      <c r="Q27" s="175"/>
      <c r="R27" s="181"/>
      <c r="T27" s="177">
        <v>404</v>
      </c>
      <c r="U27" s="174" t="s">
        <v>182</v>
      </c>
      <c r="V27" s="175"/>
      <c r="W27" s="175">
        <f>-365*6</f>
        <v>-2190</v>
      </c>
      <c r="X27" s="176">
        <f t="shared" si="14"/>
        <v>-2190</v>
      </c>
      <c r="AA27" s="177">
        <v>404</v>
      </c>
      <c r="AB27" s="174" t="s">
        <v>182</v>
      </c>
      <c r="AC27" s="175"/>
      <c r="AD27" s="175">
        <f>-365*6</f>
        <v>-2190</v>
      </c>
      <c r="AE27" s="176">
        <f t="shared" si="9"/>
        <v>-2190</v>
      </c>
      <c r="AH27" s="177">
        <v>404</v>
      </c>
      <c r="AI27" s="174" t="s">
        <v>182</v>
      </c>
      <c r="AJ27" s="175"/>
      <c r="AK27" s="175">
        <f>-365*6</f>
        <v>-2190</v>
      </c>
      <c r="AL27" s="176">
        <f t="shared" si="10"/>
        <v>-2190</v>
      </c>
      <c r="AN27" s="151"/>
      <c r="AP27" s="153"/>
      <c r="AQ27" s="153"/>
      <c r="AT27" s="177">
        <v>404</v>
      </c>
      <c r="AU27" s="174" t="s">
        <v>183</v>
      </c>
      <c r="AV27" s="175"/>
      <c r="AW27" s="175">
        <f>-400*6</f>
        <v>-2400</v>
      </c>
      <c r="AX27" s="176">
        <f t="shared" si="11"/>
        <v>-2400</v>
      </c>
      <c r="AZ27" s="151"/>
      <c r="BB27" s="153"/>
      <c r="BC27" s="153"/>
      <c r="BF27" s="177">
        <v>404</v>
      </c>
      <c r="BG27" s="174" t="s">
        <v>56</v>
      </c>
      <c r="BH27" s="175"/>
      <c r="BI27" s="175">
        <f>-700*6</f>
        <v>-4200</v>
      </c>
      <c r="BJ27" s="176">
        <f t="shared" si="12"/>
        <v>-4200</v>
      </c>
      <c r="BL27" s="151"/>
      <c r="BN27" s="153"/>
      <c r="BO27" s="153"/>
      <c r="BT27" s="177">
        <v>404</v>
      </c>
      <c r="BU27" s="174" t="s">
        <v>56</v>
      </c>
      <c r="BV27" s="175"/>
      <c r="BW27" s="175">
        <f>-700*6</f>
        <v>-4200</v>
      </c>
      <c r="BX27" s="176">
        <f t="shared" si="13"/>
        <v>-4200</v>
      </c>
      <c r="BZ27" s="151"/>
      <c r="CB27" s="153"/>
      <c r="CC27" s="153"/>
    </row>
    <row r="28" spans="1:82" x14ac:dyDescent="0.2">
      <c r="A28" s="177"/>
      <c r="B28" s="174" t="s">
        <v>184</v>
      </c>
      <c r="C28" s="175"/>
      <c r="D28" s="175">
        <v>-4950</v>
      </c>
      <c r="E28" s="180">
        <f>SUM(C28:D28)</f>
        <v>-4950</v>
      </c>
      <c r="G28" s="148">
        <v>-6695</v>
      </c>
      <c r="H28" s="177"/>
      <c r="I28" s="174" t="s">
        <v>185</v>
      </c>
      <c r="J28" s="175"/>
      <c r="K28" s="175">
        <v>-6480</v>
      </c>
      <c r="L28" s="180">
        <f>SUM(J28:K28)</f>
        <v>-6480</v>
      </c>
      <c r="N28" s="177">
        <v>404</v>
      </c>
      <c r="O28" s="174" t="s">
        <v>185</v>
      </c>
      <c r="P28" s="175"/>
      <c r="Q28" s="175">
        <v>-6480</v>
      </c>
      <c r="R28" s="181">
        <f>SUM(P28:Q28)</f>
        <v>-6480</v>
      </c>
      <c r="T28" s="177">
        <v>405</v>
      </c>
      <c r="U28" s="174" t="s">
        <v>186</v>
      </c>
      <c r="V28" s="175"/>
      <c r="W28" s="175">
        <v>-7800</v>
      </c>
      <c r="X28" s="211">
        <f t="shared" si="14"/>
        <v>-7800</v>
      </c>
      <c r="AA28" s="177">
        <v>405</v>
      </c>
      <c r="AB28" s="174" t="s">
        <v>186</v>
      </c>
      <c r="AC28" s="175"/>
      <c r="AD28" s="175">
        <v>-7800</v>
      </c>
      <c r="AE28" s="211">
        <f t="shared" si="9"/>
        <v>-7800</v>
      </c>
      <c r="AH28" s="177">
        <v>405</v>
      </c>
      <c r="AI28" s="174" t="s">
        <v>186</v>
      </c>
      <c r="AJ28" s="175"/>
      <c r="AK28" s="175">
        <v>-7800</v>
      </c>
      <c r="AL28" s="211">
        <f t="shared" si="10"/>
        <v>-7800</v>
      </c>
      <c r="AN28" s="151"/>
      <c r="AP28" s="153"/>
      <c r="AQ28" s="153"/>
      <c r="AT28" s="177">
        <v>405</v>
      </c>
      <c r="AU28" s="174" t="s">
        <v>186</v>
      </c>
      <c r="AV28" s="175"/>
      <c r="AW28" s="175">
        <v>-7800</v>
      </c>
      <c r="AX28" s="211">
        <f t="shared" si="11"/>
        <v>-7800</v>
      </c>
      <c r="AZ28" s="151"/>
      <c r="BB28" s="153"/>
      <c r="BC28" s="153"/>
      <c r="BF28" s="177">
        <v>405</v>
      </c>
      <c r="BG28" s="174" t="s">
        <v>57</v>
      </c>
      <c r="BH28" s="175"/>
      <c r="BI28" s="175">
        <f>-BO23*65*3</f>
        <v>-11700</v>
      </c>
      <c r="BJ28" s="211">
        <f t="shared" si="12"/>
        <v>-11700</v>
      </c>
      <c r="BL28" s="151"/>
      <c r="BN28" s="153"/>
      <c r="BO28" s="153"/>
      <c r="BT28" s="177">
        <v>405</v>
      </c>
      <c r="BU28" s="174" t="s">
        <v>57</v>
      </c>
      <c r="BV28" s="175"/>
      <c r="BW28" s="175">
        <f>-CC23*65*3</f>
        <v>-11700</v>
      </c>
      <c r="BX28" s="211">
        <f t="shared" si="13"/>
        <v>-11700</v>
      </c>
      <c r="BZ28" s="151"/>
      <c r="CB28" s="153"/>
      <c r="CC28" s="153"/>
    </row>
    <row r="29" spans="1:82" x14ac:dyDescent="0.2">
      <c r="A29" s="177"/>
      <c r="B29" s="174" t="s">
        <v>187</v>
      </c>
      <c r="C29" s="175">
        <v>22500</v>
      </c>
      <c r="D29" s="175"/>
      <c r="E29" s="180">
        <f>SUM(C29:D29)</f>
        <v>22500</v>
      </c>
      <c r="G29" s="148">
        <v>33000</v>
      </c>
      <c r="H29" s="177"/>
      <c r="I29" s="187" t="s">
        <v>188</v>
      </c>
      <c r="J29" s="175">
        <f>400*54</f>
        <v>21600</v>
      </c>
      <c r="K29" s="175"/>
      <c r="L29" s="180">
        <f>SUM(J29:K29)</f>
        <v>21600</v>
      </c>
      <c r="N29" s="177">
        <v>405</v>
      </c>
      <c r="O29" s="174" t="s">
        <v>189</v>
      </c>
      <c r="P29" s="175">
        <v>18900</v>
      </c>
      <c r="Q29" s="175"/>
      <c r="R29" s="181">
        <f>SUM(P29:Q29)</f>
        <v>18900</v>
      </c>
      <c r="T29" s="177">
        <v>406</v>
      </c>
      <c r="U29" s="174" t="s">
        <v>190</v>
      </c>
      <c r="V29" s="175">
        <f>500*60</f>
        <v>30000</v>
      </c>
      <c r="W29" s="175"/>
      <c r="X29" s="211">
        <f t="shared" si="14"/>
        <v>30000</v>
      </c>
      <c r="AA29" s="177">
        <v>406</v>
      </c>
      <c r="AB29" s="174" t="s">
        <v>190</v>
      </c>
      <c r="AC29" s="175">
        <f>500*60</f>
        <v>30000</v>
      </c>
      <c r="AD29" s="175"/>
      <c r="AE29" s="211">
        <f t="shared" si="9"/>
        <v>30000</v>
      </c>
      <c r="AH29" s="177">
        <v>406</v>
      </c>
      <c r="AI29" s="174" t="s">
        <v>191</v>
      </c>
      <c r="AJ29" s="175">
        <f>AQ23*AQ31</f>
        <v>35644</v>
      </c>
      <c r="AK29" s="175"/>
      <c r="AL29" s="211">
        <f t="shared" si="10"/>
        <v>35644</v>
      </c>
      <c r="AN29" s="151"/>
      <c r="AP29" s="153"/>
      <c r="AQ29" s="153"/>
      <c r="AT29" s="177">
        <v>406</v>
      </c>
      <c r="AU29" s="174" t="s">
        <v>192</v>
      </c>
      <c r="AV29" s="175">
        <f>BC23*BC31</f>
        <v>46000</v>
      </c>
      <c r="AW29" s="175"/>
      <c r="AX29" s="211">
        <f t="shared" si="11"/>
        <v>46000</v>
      </c>
      <c r="AZ29" s="151"/>
      <c r="BB29" s="153"/>
      <c r="BC29" s="153"/>
      <c r="BF29" s="177">
        <v>406</v>
      </c>
      <c r="BG29" s="174" t="s">
        <v>58</v>
      </c>
      <c r="BH29" s="175">
        <f>BO23*BP31</f>
        <v>66000</v>
      </c>
      <c r="BI29" s="175"/>
      <c r="BJ29" s="211">
        <f t="shared" si="12"/>
        <v>66000</v>
      </c>
      <c r="BL29" s="151"/>
      <c r="BN29" s="153"/>
      <c r="BO29" s="153"/>
      <c r="BT29" s="177">
        <v>406</v>
      </c>
      <c r="BU29" s="184" t="s">
        <v>193</v>
      </c>
      <c r="BV29" s="175">
        <f>CC23*CD31</f>
        <v>69000</v>
      </c>
      <c r="BW29" s="175"/>
      <c r="BX29" s="211">
        <f t="shared" si="13"/>
        <v>69000</v>
      </c>
      <c r="BZ29" s="151"/>
      <c r="CB29" s="153"/>
      <c r="CC29" s="153"/>
    </row>
    <row r="30" spans="1:82" ht="13.5" thickBot="1" x14ac:dyDescent="0.25">
      <c r="A30" s="177"/>
      <c r="B30" s="187" t="s">
        <v>194</v>
      </c>
      <c r="C30" s="175"/>
      <c r="D30" s="175"/>
      <c r="E30" s="180">
        <f>SUM(C30:D30)</f>
        <v>0</v>
      </c>
      <c r="H30" s="177"/>
      <c r="I30" s="174"/>
      <c r="J30" s="175"/>
      <c r="K30" s="175"/>
      <c r="L30" s="180">
        <f>SUM(J30:K30)</f>
        <v>0</v>
      </c>
      <c r="N30" s="177"/>
      <c r="O30" s="174"/>
      <c r="P30" s="175"/>
      <c r="Q30" s="175"/>
      <c r="R30" s="181">
        <f>SUM(P30:Q30)</f>
        <v>0</v>
      </c>
      <c r="T30" s="177">
        <v>407</v>
      </c>
      <c r="U30" s="174" t="s">
        <v>48</v>
      </c>
      <c r="V30" s="175">
        <v>0</v>
      </c>
      <c r="W30" s="175"/>
      <c r="X30" s="211">
        <f t="shared" si="14"/>
        <v>0</v>
      </c>
      <c r="AA30" s="177">
        <v>407</v>
      </c>
      <c r="AB30" s="174" t="s">
        <v>48</v>
      </c>
      <c r="AC30" s="175">
        <v>0</v>
      </c>
      <c r="AD30" s="175"/>
      <c r="AE30" s="211">
        <f t="shared" si="9"/>
        <v>0</v>
      </c>
      <c r="AH30" s="177">
        <v>407</v>
      </c>
      <c r="AI30" s="174" t="s">
        <v>48</v>
      </c>
      <c r="AJ30" s="175">
        <v>0</v>
      </c>
      <c r="AK30" s="175"/>
      <c r="AL30" s="211">
        <f t="shared" si="10"/>
        <v>0</v>
      </c>
      <c r="AN30" s="151"/>
      <c r="AP30" s="153"/>
      <c r="AQ30" s="153"/>
      <c r="AT30" s="177">
        <v>407</v>
      </c>
      <c r="AU30" s="174" t="s">
        <v>48</v>
      </c>
      <c r="AV30" s="175">
        <v>0</v>
      </c>
      <c r="AW30" s="175"/>
      <c r="AX30" s="211">
        <f t="shared" si="11"/>
        <v>0</v>
      </c>
      <c r="AZ30" s="151"/>
      <c r="BB30" s="153"/>
      <c r="BC30" s="153"/>
      <c r="BF30" s="177">
        <v>407</v>
      </c>
      <c r="BG30" s="174" t="s">
        <v>48</v>
      </c>
      <c r="BH30" s="175">
        <v>0</v>
      </c>
      <c r="BI30" s="175"/>
      <c r="BJ30" s="211">
        <f t="shared" si="12"/>
        <v>0</v>
      </c>
      <c r="BL30" s="151"/>
      <c r="BN30" s="153"/>
      <c r="BO30" s="153"/>
      <c r="BT30" s="177">
        <v>407</v>
      </c>
      <c r="BU30" s="174" t="s">
        <v>48</v>
      </c>
      <c r="BV30" s="175">
        <v>0</v>
      </c>
      <c r="BW30" s="175"/>
      <c r="BX30" s="211">
        <f t="shared" si="13"/>
        <v>0</v>
      </c>
      <c r="BZ30" s="151"/>
      <c r="CB30" s="153"/>
      <c r="CC30" s="153"/>
    </row>
    <row r="31" spans="1:82" ht="13.5" thickBot="1" x14ac:dyDescent="0.25">
      <c r="A31" s="189"/>
      <c r="B31" s="193" t="s">
        <v>195</v>
      </c>
      <c r="C31" s="194"/>
      <c r="D31" s="194"/>
      <c r="E31" s="195">
        <f>SUM(C31:D31)</f>
        <v>0</v>
      </c>
      <c r="H31" s="189"/>
      <c r="I31" s="193"/>
      <c r="J31" s="194"/>
      <c r="K31" s="194"/>
      <c r="L31" s="195">
        <f>SUM(J31:K31)</f>
        <v>0</v>
      </c>
      <c r="N31" s="189"/>
      <c r="O31" s="193"/>
      <c r="P31" s="194"/>
      <c r="Q31" s="194"/>
      <c r="R31" s="196">
        <f>SUM(P31:Q31)</f>
        <v>0</v>
      </c>
      <c r="T31" s="189"/>
      <c r="U31" s="193"/>
      <c r="V31" s="194"/>
      <c r="W31" s="194"/>
      <c r="X31" s="212">
        <f t="shared" si="14"/>
        <v>0</v>
      </c>
      <c r="AA31" s="189"/>
      <c r="AB31" s="193"/>
      <c r="AC31" s="194"/>
      <c r="AD31" s="194"/>
      <c r="AE31" s="212"/>
      <c r="AH31" s="189"/>
      <c r="AI31" s="193"/>
      <c r="AJ31" s="194"/>
      <c r="AK31" s="194"/>
      <c r="AL31" s="212"/>
      <c r="AN31" s="151"/>
      <c r="AP31" s="152" t="s">
        <v>50</v>
      </c>
      <c r="AQ31" s="198">
        <f>(ABS(SUM(AK24:AK31))-AN23)/AQ23</f>
        <v>594.06666666666672</v>
      </c>
      <c r="AT31" s="189"/>
      <c r="AU31" s="193"/>
      <c r="AV31" s="194"/>
      <c r="AW31" s="194"/>
      <c r="AX31" s="212"/>
      <c r="AZ31" s="151"/>
      <c r="BB31" s="152" t="s">
        <v>50</v>
      </c>
      <c r="BC31" s="198">
        <f>(ABS(SUM(AW24:AW31))-AZ23)/BC23</f>
        <v>766.66666666666663</v>
      </c>
      <c r="BF31" s="189"/>
      <c r="BG31" s="193"/>
      <c r="BH31" s="194"/>
      <c r="BI31" s="194"/>
      <c r="BJ31" s="212"/>
      <c r="BL31" s="151"/>
      <c r="BN31" s="152" t="s">
        <v>50</v>
      </c>
      <c r="BO31" s="198">
        <f>(ABS(SUM(BI24:BI31))-BL23)/BO23</f>
        <v>1101.6666666666667</v>
      </c>
      <c r="BP31" s="146">
        <v>1100</v>
      </c>
      <c r="BT31" s="189"/>
      <c r="BU31" s="193"/>
      <c r="BV31" s="194"/>
      <c r="BW31" s="194"/>
      <c r="BX31" s="212"/>
      <c r="BZ31" s="151"/>
      <c r="CB31" s="152" t="s">
        <v>50</v>
      </c>
      <c r="CC31" s="198">
        <f>(ABS(SUM(BW24:BW31))-BZ23)/CC23</f>
        <v>1148.3333333333333</v>
      </c>
      <c r="CD31" s="146">
        <v>1150</v>
      </c>
    </row>
    <row r="32" spans="1:82" ht="13.5" thickBot="1" x14ac:dyDescent="0.25">
      <c r="E32" s="213">
        <f>SUM(E24:E31)</f>
        <v>-20950</v>
      </c>
      <c r="F32" s="148">
        <v>-17150</v>
      </c>
      <c r="G32" s="148">
        <f>SUM(G24:G31)</f>
        <v>-17375</v>
      </c>
      <c r="L32" s="213">
        <f>SUM(L24:L31)</f>
        <v>-5880</v>
      </c>
      <c r="P32" s="148"/>
      <c r="Q32" s="148"/>
      <c r="R32" s="214">
        <f>SUM(R24:R31)</f>
        <v>-8580</v>
      </c>
      <c r="V32" s="148"/>
      <c r="W32" s="148"/>
      <c r="X32" s="213">
        <f>SUM(X24:X31)</f>
        <v>-14690</v>
      </c>
      <c r="AB32" s="190" t="s">
        <v>196</v>
      </c>
      <c r="AC32" s="148"/>
      <c r="AD32" s="148"/>
      <c r="AE32" s="213">
        <f>SUM(AE24:AE31)</f>
        <v>-9390</v>
      </c>
      <c r="AI32" s="190" t="s">
        <v>196</v>
      </c>
      <c r="AJ32" s="148"/>
      <c r="AK32" s="148"/>
      <c r="AL32" s="213">
        <f>SUM(AL24:AL31)</f>
        <v>-9000</v>
      </c>
      <c r="AN32" s="151"/>
      <c r="AP32" s="152" t="s">
        <v>69</v>
      </c>
      <c r="AQ32" s="153"/>
      <c r="AU32" s="190" t="s">
        <v>196</v>
      </c>
      <c r="AV32" s="148"/>
      <c r="AW32" s="148"/>
      <c r="AX32" s="213">
        <f>SUM(AX24:AX31)</f>
        <v>-20000</v>
      </c>
      <c r="AZ32" s="151"/>
      <c r="BB32" s="152" t="s">
        <v>69</v>
      </c>
      <c r="BC32" s="153"/>
      <c r="BG32" s="190" t="s">
        <v>196</v>
      </c>
      <c r="BH32" s="203">
        <f>SUM(BH24:BH31)</f>
        <v>66000</v>
      </c>
      <c r="BI32" s="203">
        <f>SUM(BI24:BI31)</f>
        <v>-75100</v>
      </c>
      <c r="BJ32" s="213">
        <f>SUM(BJ24:BJ31)</f>
        <v>-9100</v>
      </c>
      <c r="BL32" s="151"/>
      <c r="BN32" s="152" t="s">
        <v>51</v>
      </c>
      <c r="BO32" s="153">
        <v>195</v>
      </c>
      <c r="BU32" s="190"/>
      <c r="BV32" s="203">
        <f>SUM(BV24:BV31)</f>
        <v>69000</v>
      </c>
      <c r="BW32" s="203">
        <f>SUM(BW24:BW31)</f>
        <v>-75900</v>
      </c>
      <c r="BX32" s="213">
        <f>SUM(BX24:BX31)</f>
        <v>-6900</v>
      </c>
      <c r="BZ32" s="151"/>
      <c r="CB32" s="152" t="s">
        <v>51</v>
      </c>
      <c r="CC32" s="153">
        <v>195</v>
      </c>
    </row>
    <row r="33" spans="1:82" x14ac:dyDescent="0.2">
      <c r="E33" s="154"/>
      <c r="L33" s="154"/>
      <c r="P33" s="148"/>
      <c r="Q33" s="148"/>
      <c r="R33" s="215"/>
      <c r="V33" s="148"/>
      <c r="W33" s="148"/>
      <c r="X33" s="154"/>
      <c r="AC33" s="148"/>
      <c r="AD33" s="148"/>
      <c r="AE33" s="154"/>
      <c r="AJ33" s="148"/>
      <c r="AK33" s="148"/>
      <c r="AL33" s="154"/>
      <c r="AN33" s="151"/>
      <c r="AP33" s="153"/>
      <c r="AQ33" s="153"/>
      <c r="AV33" s="148"/>
      <c r="AW33" s="148"/>
      <c r="AX33" s="154"/>
      <c r="AZ33" s="151"/>
      <c r="BB33" s="153"/>
      <c r="BC33" s="153"/>
      <c r="BH33" s="148"/>
      <c r="BI33" s="148"/>
      <c r="BJ33" s="154"/>
      <c r="BL33" s="151"/>
      <c r="BN33" s="153"/>
      <c r="BO33" s="153"/>
      <c r="BV33" s="148"/>
      <c r="BW33" s="148"/>
      <c r="BX33" s="154"/>
      <c r="BZ33" s="151"/>
      <c r="CB33" s="153"/>
      <c r="CC33" s="153"/>
    </row>
    <row r="34" spans="1:82" x14ac:dyDescent="0.2">
      <c r="V34" s="148"/>
      <c r="W34" s="148"/>
      <c r="AC34" s="148"/>
      <c r="AD34" s="148"/>
      <c r="AJ34" s="148"/>
      <c r="AK34" s="148"/>
      <c r="AN34" s="151"/>
      <c r="AP34" s="153"/>
      <c r="AQ34" s="153"/>
      <c r="AV34" s="148"/>
      <c r="AW34" s="148"/>
      <c r="AZ34" s="151"/>
      <c r="BB34" s="153"/>
      <c r="BC34" s="153"/>
      <c r="BH34" s="148"/>
      <c r="BI34" s="148"/>
      <c r="BL34" s="151"/>
      <c r="BN34" s="153"/>
      <c r="BO34" s="153"/>
      <c r="BV34" s="148"/>
      <c r="BW34" s="148"/>
      <c r="BZ34" s="151"/>
      <c r="CB34" s="153"/>
      <c r="CC34" s="153"/>
    </row>
    <row r="35" spans="1:82" ht="20.25" x14ac:dyDescent="0.3">
      <c r="B35" s="155" t="s">
        <v>197</v>
      </c>
      <c r="I35" s="155" t="s">
        <v>198</v>
      </c>
      <c r="O35" s="155" t="s">
        <v>198</v>
      </c>
      <c r="P35" s="148"/>
      <c r="Q35" s="148"/>
      <c r="U35" s="155" t="s">
        <v>199</v>
      </c>
      <c r="V35" s="148"/>
      <c r="W35" s="148"/>
      <c r="Z35" s="149"/>
      <c r="AB35" s="155" t="s">
        <v>200</v>
      </c>
      <c r="AC35" s="148"/>
      <c r="AD35" s="148"/>
      <c r="AI35" s="155" t="s">
        <v>201</v>
      </c>
      <c r="AJ35" s="148"/>
      <c r="AK35" s="148"/>
      <c r="AN35" s="151"/>
      <c r="AP35" s="153"/>
      <c r="AQ35" s="153"/>
      <c r="AU35" s="155" t="s">
        <v>202</v>
      </c>
      <c r="AV35" s="148"/>
      <c r="AW35" s="148"/>
      <c r="AZ35" s="151"/>
      <c r="BB35" s="153"/>
      <c r="BC35" s="153"/>
      <c r="BG35" s="155" t="s">
        <v>203</v>
      </c>
      <c r="BH35" s="148"/>
      <c r="BI35" s="148"/>
      <c r="BL35" s="151"/>
      <c r="BN35" s="153"/>
      <c r="BO35" s="153"/>
      <c r="BU35" s="155" t="s">
        <v>204</v>
      </c>
      <c r="BV35" s="148"/>
      <c r="BW35" s="148"/>
      <c r="BZ35" s="151"/>
      <c r="CB35" s="153"/>
      <c r="CC35" s="153"/>
    </row>
    <row r="36" spans="1:82" ht="13.5" thickBot="1" x14ac:dyDescent="0.25">
      <c r="P36" s="148"/>
      <c r="Q36" s="148"/>
      <c r="V36" s="148"/>
      <c r="W36" s="148"/>
      <c r="AC36" s="148"/>
      <c r="AD36" s="148"/>
      <c r="AJ36" s="148"/>
      <c r="AK36" s="148"/>
      <c r="AN36" s="151"/>
      <c r="AP36" s="153"/>
      <c r="AQ36" s="153"/>
      <c r="AV36" s="148"/>
      <c r="AW36" s="148"/>
      <c r="AZ36" s="151"/>
      <c r="BB36" s="153"/>
      <c r="BC36" s="153"/>
      <c r="BH36" s="148"/>
      <c r="BI36" s="148"/>
      <c r="BL36" s="151"/>
      <c r="BN36" s="153"/>
      <c r="BO36" s="153"/>
      <c r="BV36" s="148"/>
      <c r="BW36" s="148"/>
      <c r="BZ36" s="151"/>
      <c r="CB36" s="153"/>
      <c r="CC36" s="153"/>
    </row>
    <row r="37" spans="1:82" ht="18.75" thickBot="1" x14ac:dyDescent="0.3">
      <c r="A37" s="156" t="s">
        <v>36</v>
      </c>
      <c r="B37" s="157" t="s">
        <v>37</v>
      </c>
      <c r="C37" s="158" t="s">
        <v>38</v>
      </c>
      <c r="D37" s="158" t="s">
        <v>39</v>
      </c>
      <c r="E37" s="159" t="s">
        <v>40</v>
      </c>
      <c r="G37" s="148" t="s">
        <v>205</v>
      </c>
      <c r="H37" s="156" t="s">
        <v>36</v>
      </c>
      <c r="I37" s="157" t="s">
        <v>37</v>
      </c>
      <c r="J37" s="158" t="s">
        <v>38</v>
      </c>
      <c r="K37" s="158" t="s">
        <v>39</v>
      </c>
      <c r="L37" s="159" t="s">
        <v>40</v>
      </c>
      <c r="N37" s="156" t="s">
        <v>36</v>
      </c>
      <c r="O37" s="157" t="s">
        <v>37</v>
      </c>
      <c r="P37" s="158" t="s">
        <v>38</v>
      </c>
      <c r="Q37" s="158" t="s">
        <v>39</v>
      </c>
      <c r="R37" s="160" t="s">
        <v>40</v>
      </c>
      <c r="T37" s="156" t="s">
        <v>36</v>
      </c>
      <c r="U37" s="157" t="s">
        <v>37</v>
      </c>
      <c r="V37" s="158" t="s">
        <v>38</v>
      </c>
      <c r="W37" s="158" t="s">
        <v>39</v>
      </c>
      <c r="X37" s="159" t="s">
        <v>40</v>
      </c>
      <c r="AA37" s="156" t="s">
        <v>36</v>
      </c>
      <c r="AB37" s="157" t="s">
        <v>37</v>
      </c>
      <c r="AC37" s="158" t="s">
        <v>38</v>
      </c>
      <c r="AD37" s="158" t="s">
        <v>39</v>
      </c>
      <c r="AE37" s="159" t="s">
        <v>40</v>
      </c>
      <c r="AH37" s="156" t="s">
        <v>36</v>
      </c>
      <c r="AI37" s="157" t="s">
        <v>37</v>
      </c>
      <c r="AJ37" s="158" t="s">
        <v>38</v>
      </c>
      <c r="AK37" s="158" t="s">
        <v>39</v>
      </c>
      <c r="AL37" s="159" t="s">
        <v>40</v>
      </c>
      <c r="AN37" s="151">
        <v>18000</v>
      </c>
      <c r="AP37" s="152" t="s">
        <v>41</v>
      </c>
      <c r="AQ37" s="161">
        <v>45</v>
      </c>
      <c r="AT37" s="156" t="s">
        <v>36</v>
      </c>
      <c r="AU37" s="157" t="s">
        <v>37</v>
      </c>
      <c r="AV37" s="158" t="s">
        <v>38</v>
      </c>
      <c r="AW37" s="158" t="s">
        <v>39</v>
      </c>
      <c r="AX37" s="159" t="s">
        <v>40</v>
      </c>
      <c r="AZ37" s="151">
        <v>15000</v>
      </c>
      <c r="BB37" s="152" t="s">
        <v>41</v>
      </c>
      <c r="BC37" s="161">
        <v>45</v>
      </c>
      <c r="BF37" s="156" t="s">
        <v>36</v>
      </c>
      <c r="BG37" s="157" t="s">
        <v>37</v>
      </c>
      <c r="BH37" s="158" t="s">
        <v>38</v>
      </c>
      <c r="BI37" s="158" t="s">
        <v>39</v>
      </c>
      <c r="BJ37" s="159" t="s">
        <v>40</v>
      </c>
      <c r="BL37" s="151">
        <v>7000</v>
      </c>
      <c r="BM37" s="146">
        <v>13500</v>
      </c>
      <c r="BN37" s="152" t="s">
        <v>41</v>
      </c>
      <c r="BO37" s="161">
        <v>40</v>
      </c>
      <c r="BT37" s="156" t="s">
        <v>36</v>
      </c>
      <c r="BU37" s="157" t="s">
        <v>37</v>
      </c>
      <c r="BV37" s="158" t="s">
        <v>38</v>
      </c>
      <c r="BW37" s="158" t="s">
        <v>39</v>
      </c>
      <c r="BX37" s="159" t="s">
        <v>40</v>
      </c>
      <c r="BZ37" s="151">
        <v>5000</v>
      </c>
      <c r="CA37" s="146">
        <v>13500</v>
      </c>
      <c r="CB37" s="152" t="s">
        <v>41</v>
      </c>
      <c r="CC37" s="161">
        <v>40</v>
      </c>
    </row>
    <row r="38" spans="1:82" x14ac:dyDescent="0.2">
      <c r="A38" s="162"/>
      <c r="B38" s="163" t="s">
        <v>206</v>
      </c>
      <c r="C38" s="216"/>
      <c r="D38" s="216">
        <v>-15000</v>
      </c>
      <c r="E38" s="166">
        <f t="shared" ref="E38:E46" si="15">SUM(C38:D38)</f>
        <v>-15000</v>
      </c>
      <c r="G38" s="148">
        <v>-18984</v>
      </c>
      <c r="H38" s="162"/>
      <c r="I38" s="163" t="s">
        <v>207</v>
      </c>
      <c r="J38" s="216"/>
      <c r="K38" s="217">
        <v>-10000</v>
      </c>
      <c r="L38" s="166">
        <f t="shared" ref="L38:L46" si="16">SUM(J38:K38)</f>
        <v>-10000</v>
      </c>
      <c r="M38" s="146" t="s">
        <v>132</v>
      </c>
      <c r="N38" s="162">
        <v>501</v>
      </c>
      <c r="O38" s="163" t="s">
        <v>207</v>
      </c>
      <c r="P38" s="216"/>
      <c r="Q38" s="218">
        <v>-10000</v>
      </c>
      <c r="R38" s="169">
        <f t="shared" ref="R38:R46" si="17">SUM(P38:Q38)</f>
        <v>-10000</v>
      </c>
      <c r="T38" s="162">
        <v>501</v>
      </c>
      <c r="U38" s="163" t="s">
        <v>60</v>
      </c>
      <c r="V38" s="216"/>
      <c r="W38" s="218">
        <v>-33000</v>
      </c>
      <c r="X38" s="208">
        <f>SUM(V38:W38)</f>
        <v>-33000</v>
      </c>
      <c r="Y38" s="219">
        <v>33000</v>
      </c>
      <c r="AA38" s="162">
        <v>501</v>
      </c>
      <c r="AB38" s="163" t="s">
        <v>60</v>
      </c>
      <c r="AC38" s="216"/>
      <c r="AD38" s="218">
        <v>-12000</v>
      </c>
      <c r="AE38" s="208">
        <f>SUM(AC38:AD38)</f>
        <v>-12000</v>
      </c>
      <c r="AH38" s="162">
        <v>501</v>
      </c>
      <c r="AI38" s="163" t="s">
        <v>60</v>
      </c>
      <c r="AJ38" s="216"/>
      <c r="AK38" s="220">
        <v>-9328</v>
      </c>
      <c r="AL38" s="208">
        <f>SUM(AJ38:AK38)</f>
        <v>-9328</v>
      </c>
      <c r="AN38" s="151"/>
      <c r="AP38" s="153"/>
      <c r="AQ38" s="153"/>
      <c r="AT38" s="162">
        <v>501</v>
      </c>
      <c r="AU38" s="163" t="s">
        <v>60</v>
      </c>
      <c r="AV38" s="216"/>
      <c r="AW38" s="220">
        <v>-12000</v>
      </c>
      <c r="AX38" s="208">
        <f>SUM(AV38:AW38)</f>
        <v>-12000</v>
      </c>
      <c r="AZ38" s="151"/>
      <c r="BB38" s="153"/>
      <c r="BC38" s="153"/>
      <c r="BF38" s="162">
        <v>501</v>
      </c>
      <c r="BG38" s="163" t="s">
        <v>60</v>
      </c>
      <c r="BH38" s="216"/>
      <c r="BI38" s="220">
        <v>-14000</v>
      </c>
      <c r="BJ38" s="208">
        <f>SUM(BH38:BI38)</f>
        <v>-14000</v>
      </c>
      <c r="BL38" s="151"/>
      <c r="BN38" s="153"/>
      <c r="BO38" s="153"/>
      <c r="BT38" s="162">
        <v>501</v>
      </c>
      <c r="BU38" s="163" t="s">
        <v>60</v>
      </c>
      <c r="BV38" s="216"/>
      <c r="BW38" s="220">
        <v>-13000</v>
      </c>
      <c r="BX38" s="208">
        <f>SUM(BV38:BW38)</f>
        <v>-13000</v>
      </c>
      <c r="BZ38" s="151"/>
      <c r="CB38" s="153"/>
      <c r="CC38" s="153"/>
    </row>
    <row r="39" spans="1:82" x14ac:dyDescent="0.2">
      <c r="A39" s="162"/>
      <c r="B39" s="163" t="s">
        <v>208</v>
      </c>
      <c r="C39" s="216"/>
      <c r="D39" s="216">
        <v>-1200</v>
      </c>
      <c r="E39" s="166">
        <f t="shared" si="15"/>
        <v>-1200</v>
      </c>
      <c r="G39" s="148" t="s">
        <v>209</v>
      </c>
      <c r="H39" s="162"/>
      <c r="I39" s="163" t="s">
        <v>210</v>
      </c>
      <c r="J39" s="216"/>
      <c r="K39" s="216">
        <v>0</v>
      </c>
      <c r="L39" s="166">
        <f t="shared" si="16"/>
        <v>0</v>
      </c>
      <c r="N39" s="162">
        <v>502</v>
      </c>
      <c r="O39" s="163" t="s">
        <v>210</v>
      </c>
      <c r="P39" s="216"/>
      <c r="Q39" s="216">
        <v>0</v>
      </c>
      <c r="R39" s="169">
        <f t="shared" si="17"/>
        <v>0</v>
      </c>
      <c r="T39" s="162">
        <v>502</v>
      </c>
      <c r="U39" s="163" t="s">
        <v>211</v>
      </c>
      <c r="V39" s="216"/>
      <c r="W39" s="216">
        <v>-2000</v>
      </c>
      <c r="X39" s="208">
        <f>SUM(V39:W39)</f>
        <v>-2000</v>
      </c>
      <c r="Y39" s="219">
        <v>2000</v>
      </c>
      <c r="AA39" s="162">
        <v>502</v>
      </c>
      <c r="AB39" s="163" t="s">
        <v>211</v>
      </c>
      <c r="AC39" s="216"/>
      <c r="AD39" s="216">
        <v>-600</v>
      </c>
      <c r="AE39" s="208">
        <f>SUM(AC39:AD39)</f>
        <v>-600</v>
      </c>
      <c r="AH39" s="162">
        <v>502</v>
      </c>
      <c r="AI39" s="163" t="s">
        <v>211</v>
      </c>
      <c r="AJ39" s="216"/>
      <c r="AK39" s="216">
        <v>-600</v>
      </c>
      <c r="AL39" s="208">
        <f>SUM(AJ39:AK39)</f>
        <v>-600</v>
      </c>
      <c r="AN39" s="151"/>
      <c r="AP39" s="153"/>
      <c r="AQ39" s="153"/>
      <c r="AT39" s="162">
        <v>502</v>
      </c>
      <c r="AU39" s="163" t="s">
        <v>211</v>
      </c>
      <c r="AV39" s="216"/>
      <c r="AW39" s="216">
        <v>-600</v>
      </c>
      <c r="AX39" s="208">
        <f>SUM(AV39:AW39)</f>
        <v>-600</v>
      </c>
      <c r="AZ39" s="151"/>
      <c r="BB39" s="153"/>
      <c r="BC39" s="153"/>
      <c r="BF39" s="162">
        <v>502</v>
      </c>
      <c r="BG39" s="163" t="s">
        <v>54</v>
      </c>
      <c r="BH39" s="216"/>
      <c r="BI39" s="216">
        <v>-1200</v>
      </c>
      <c r="BJ39" s="208">
        <f>SUM(BH39:BI39)</f>
        <v>-1200</v>
      </c>
      <c r="BL39" s="151"/>
      <c r="BN39" s="153"/>
      <c r="BO39" s="153"/>
      <c r="BT39" s="162">
        <v>502</v>
      </c>
      <c r="BU39" s="163" t="s">
        <v>54</v>
      </c>
      <c r="BV39" s="216"/>
      <c r="BW39" s="216">
        <v>-2000</v>
      </c>
      <c r="BX39" s="208">
        <f>SUM(BV39:BW39)</f>
        <v>-2000</v>
      </c>
      <c r="BZ39" s="151"/>
      <c r="CB39" s="153"/>
      <c r="CC39" s="153"/>
    </row>
    <row r="40" spans="1:82" x14ac:dyDescent="0.2">
      <c r="A40" s="162"/>
      <c r="B40" s="163"/>
      <c r="C40" s="216"/>
      <c r="D40" s="216"/>
      <c r="E40" s="166"/>
      <c r="H40" s="162"/>
      <c r="I40" s="163"/>
      <c r="J40" s="216"/>
      <c r="K40" s="216"/>
      <c r="L40" s="166"/>
      <c r="N40" s="162"/>
      <c r="O40" s="163"/>
      <c r="P40" s="216"/>
      <c r="Q40" s="216"/>
      <c r="R40" s="169"/>
      <c r="T40" s="162">
        <v>503</v>
      </c>
      <c r="U40" s="163" t="s">
        <v>212</v>
      </c>
      <c r="V40" s="216"/>
      <c r="W40" s="216">
        <f>-100*4*42</f>
        <v>-16800</v>
      </c>
      <c r="X40" s="208">
        <f t="shared" ref="X40:X45" si="18">SUM(V40:W40)</f>
        <v>-16800</v>
      </c>
      <c r="Y40" s="219">
        <v>18800</v>
      </c>
      <c r="AA40" s="162">
        <v>503</v>
      </c>
      <c r="AB40" s="163" t="s">
        <v>213</v>
      </c>
      <c r="AC40" s="216"/>
      <c r="AD40" s="216">
        <f>-200*2*45</f>
        <v>-18000</v>
      </c>
      <c r="AE40" s="208">
        <f t="shared" ref="AE40:AE45" si="19">SUM(AC40:AD40)</f>
        <v>-18000</v>
      </c>
      <c r="AH40" s="162">
        <v>503</v>
      </c>
      <c r="AI40" s="163" t="s">
        <v>213</v>
      </c>
      <c r="AJ40" s="216"/>
      <c r="AK40" s="216">
        <f>-200*2*45</f>
        <v>-18000</v>
      </c>
      <c r="AL40" s="208">
        <f t="shared" ref="AL40:AL45" si="20">SUM(AJ40:AK40)</f>
        <v>-18000</v>
      </c>
      <c r="AN40" s="151"/>
      <c r="AP40" s="153"/>
      <c r="AQ40" s="153"/>
      <c r="AT40" s="162">
        <v>503</v>
      </c>
      <c r="AU40" s="163" t="s">
        <v>213</v>
      </c>
      <c r="AV40" s="216"/>
      <c r="AW40" s="216">
        <f>-200*2*45</f>
        <v>-18000</v>
      </c>
      <c r="AX40" s="208">
        <f t="shared" ref="AX40:AX45" si="21">SUM(AV40:AW40)</f>
        <v>-18000</v>
      </c>
      <c r="AZ40" s="151"/>
      <c r="BB40" s="153"/>
      <c r="BC40" s="153"/>
      <c r="BF40" s="162">
        <v>503</v>
      </c>
      <c r="BG40" s="163" t="s">
        <v>214</v>
      </c>
      <c r="BH40" s="216"/>
      <c r="BI40" s="216">
        <f>-(20*2*45+1200)</f>
        <v>-3000</v>
      </c>
      <c r="BJ40" s="208">
        <f t="shared" ref="BJ40:BJ45" si="22">SUM(BH40:BI40)</f>
        <v>-3000</v>
      </c>
      <c r="BL40" s="151"/>
      <c r="BN40" s="153"/>
      <c r="BO40" s="153"/>
      <c r="BT40" s="162">
        <v>503</v>
      </c>
      <c r="BU40" s="163" t="s">
        <v>61</v>
      </c>
      <c r="BV40" s="216"/>
      <c r="BW40" s="216">
        <f>-5000</f>
        <v>-5000</v>
      </c>
      <c r="BX40" s="208">
        <f t="shared" ref="BX40:BX45" si="23">SUM(BV40:BW40)</f>
        <v>-5000</v>
      </c>
      <c r="BZ40" s="151"/>
      <c r="CB40" s="153"/>
      <c r="CC40" s="153"/>
    </row>
    <row r="41" spans="1:82" x14ac:dyDescent="0.2">
      <c r="A41" s="177"/>
      <c r="B41" s="174" t="s">
        <v>215</v>
      </c>
      <c r="C41" s="191"/>
      <c r="D41" s="191">
        <v>-26000</v>
      </c>
      <c r="E41" s="180">
        <f t="shared" si="15"/>
        <v>-26000</v>
      </c>
      <c r="G41" s="148">
        <v>-30156</v>
      </c>
      <c r="H41" s="177"/>
      <c r="I41" s="187" t="s">
        <v>216</v>
      </c>
      <c r="J41" s="191"/>
      <c r="K41" s="191">
        <f>-400*20</f>
        <v>-8000</v>
      </c>
      <c r="L41" s="180">
        <f t="shared" si="16"/>
        <v>-8000</v>
      </c>
      <c r="N41" s="177">
        <v>503</v>
      </c>
      <c r="O41" s="174" t="s">
        <v>217</v>
      </c>
      <c r="P41" s="191"/>
      <c r="Q41" s="191">
        <v>-16800</v>
      </c>
      <c r="R41" s="181">
        <f t="shared" si="17"/>
        <v>-16800</v>
      </c>
      <c r="T41" s="177">
        <v>504</v>
      </c>
      <c r="U41" s="221" t="s">
        <v>218</v>
      </c>
      <c r="V41" s="191"/>
      <c r="W41" s="191">
        <f>-500*42</f>
        <v>-21000</v>
      </c>
      <c r="X41" s="211">
        <f t="shared" si="18"/>
        <v>-21000</v>
      </c>
      <c r="Y41" s="219">
        <v>23500</v>
      </c>
      <c r="AA41" s="177">
        <v>504</v>
      </c>
      <c r="AB41" s="221" t="s">
        <v>62</v>
      </c>
      <c r="AC41" s="191"/>
      <c r="AD41" s="191">
        <f>-250*45</f>
        <v>-11250</v>
      </c>
      <c r="AE41" s="211">
        <f t="shared" si="19"/>
        <v>-11250</v>
      </c>
      <c r="AH41" s="177">
        <v>504</v>
      </c>
      <c r="AI41" s="221" t="s">
        <v>62</v>
      </c>
      <c r="AJ41" s="191"/>
      <c r="AK41" s="191">
        <f>-250*45</f>
        <v>-11250</v>
      </c>
      <c r="AL41" s="211">
        <f t="shared" si="20"/>
        <v>-11250</v>
      </c>
      <c r="AN41" s="151"/>
      <c r="AP41" s="153"/>
      <c r="AQ41" s="153"/>
      <c r="AT41" s="177">
        <v>504</v>
      </c>
      <c r="AU41" s="221" t="s">
        <v>62</v>
      </c>
      <c r="AV41" s="191"/>
      <c r="AW41" s="191">
        <f>-250*45</f>
        <v>-11250</v>
      </c>
      <c r="AX41" s="211">
        <f t="shared" si="21"/>
        <v>-11250</v>
      </c>
      <c r="AZ41" s="151"/>
      <c r="BB41" s="153"/>
      <c r="BC41" s="153"/>
      <c r="BF41" s="177">
        <v>504</v>
      </c>
      <c r="BG41" s="221" t="s">
        <v>62</v>
      </c>
      <c r="BH41" s="191"/>
      <c r="BI41" s="191">
        <f>-250*45</f>
        <v>-11250</v>
      </c>
      <c r="BJ41" s="211">
        <f t="shared" si="22"/>
        <v>-11250</v>
      </c>
      <c r="BL41" s="151"/>
      <c r="BN41" s="153"/>
      <c r="BO41" s="153"/>
      <c r="BT41" s="177">
        <v>504</v>
      </c>
      <c r="BU41" s="221" t="s">
        <v>62</v>
      </c>
      <c r="BV41" s="191"/>
      <c r="BW41" s="191">
        <f>-250*45</f>
        <v>-11250</v>
      </c>
      <c r="BX41" s="211">
        <f t="shared" si="23"/>
        <v>-11250</v>
      </c>
      <c r="BZ41" s="151"/>
      <c r="CB41" s="153"/>
      <c r="CC41" s="153"/>
    </row>
    <row r="42" spans="1:82" x14ac:dyDescent="0.2">
      <c r="A42" s="177"/>
      <c r="B42" s="174"/>
      <c r="C42" s="191"/>
      <c r="D42" s="191"/>
      <c r="E42" s="180"/>
      <c r="H42" s="177"/>
      <c r="I42" s="187"/>
      <c r="J42" s="191"/>
      <c r="K42" s="191"/>
      <c r="L42" s="180"/>
      <c r="N42" s="177"/>
      <c r="O42" s="174"/>
      <c r="P42" s="191"/>
      <c r="Q42" s="191"/>
      <c r="R42" s="181"/>
      <c r="T42" s="177">
        <v>506</v>
      </c>
      <c r="U42" s="221" t="s">
        <v>219</v>
      </c>
      <c r="V42" s="191"/>
      <c r="W42" s="191">
        <f>-200*4*3</f>
        <v>-2400</v>
      </c>
      <c r="X42" s="211">
        <f t="shared" si="18"/>
        <v>-2400</v>
      </c>
      <c r="Y42" s="219">
        <v>2100</v>
      </c>
      <c r="AA42" s="177">
        <v>506</v>
      </c>
      <c r="AB42" s="221" t="s">
        <v>220</v>
      </c>
      <c r="AC42" s="191"/>
      <c r="AD42" s="191">
        <f>-200*4*2</f>
        <v>-1600</v>
      </c>
      <c r="AE42" s="211">
        <f t="shared" si="19"/>
        <v>-1600</v>
      </c>
      <c r="AH42" s="177">
        <v>506</v>
      </c>
      <c r="AI42" s="221" t="s">
        <v>220</v>
      </c>
      <c r="AJ42" s="191"/>
      <c r="AK42" s="191">
        <f>-200*4*2</f>
        <v>-1600</v>
      </c>
      <c r="AL42" s="211">
        <f t="shared" si="20"/>
        <v>-1600</v>
      </c>
      <c r="AN42" s="151"/>
      <c r="AP42" s="153"/>
      <c r="AQ42" s="153"/>
      <c r="AT42" s="177">
        <v>506</v>
      </c>
      <c r="AU42" s="221" t="s">
        <v>220</v>
      </c>
      <c r="AV42" s="191"/>
      <c r="AW42" s="191">
        <f>-200*4*2</f>
        <v>-1600</v>
      </c>
      <c r="AX42" s="211">
        <f t="shared" si="21"/>
        <v>-1600</v>
      </c>
      <c r="AZ42" s="151"/>
      <c r="BB42" s="153"/>
      <c r="BC42" s="153"/>
      <c r="BF42" s="177">
        <v>506</v>
      </c>
      <c r="BG42" s="221" t="s">
        <v>63</v>
      </c>
      <c r="BH42" s="191"/>
      <c r="BI42" s="191">
        <f>-20*4*2</f>
        <v>-160</v>
      </c>
      <c r="BJ42" s="211">
        <f t="shared" si="22"/>
        <v>-160</v>
      </c>
      <c r="BL42" s="151"/>
      <c r="BN42" s="153"/>
      <c r="BO42" s="153"/>
      <c r="BT42" s="177">
        <v>506</v>
      </c>
      <c r="BU42" s="221" t="s">
        <v>63</v>
      </c>
      <c r="BV42" s="191"/>
      <c r="BW42" s="191">
        <f>-20*4*2</f>
        <v>-160</v>
      </c>
      <c r="BX42" s="211">
        <f t="shared" si="23"/>
        <v>-160</v>
      </c>
      <c r="BZ42" s="151"/>
      <c r="CB42" s="153"/>
      <c r="CC42" s="153"/>
    </row>
    <row r="43" spans="1:82" x14ac:dyDescent="0.2">
      <c r="A43" s="177"/>
      <c r="B43" s="174"/>
      <c r="C43" s="191"/>
      <c r="D43" s="191"/>
      <c r="E43" s="180"/>
      <c r="H43" s="177"/>
      <c r="I43" s="187"/>
      <c r="J43" s="191"/>
      <c r="K43" s="191"/>
      <c r="L43" s="180"/>
      <c r="N43" s="177"/>
      <c r="O43" s="174"/>
      <c r="P43" s="191"/>
      <c r="Q43" s="191"/>
      <c r="R43" s="181"/>
      <c r="T43" s="177">
        <v>507</v>
      </c>
      <c r="U43" s="221" t="s">
        <v>221</v>
      </c>
      <c r="V43" s="191"/>
      <c r="W43" s="191">
        <f>-500*3</f>
        <v>-1500</v>
      </c>
      <c r="X43" s="211">
        <f t="shared" si="18"/>
        <v>-1500</v>
      </c>
      <c r="Y43" s="219">
        <v>1500</v>
      </c>
      <c r="AA43" s="177">
        <v>507</v>
      </c>
      <c r="AB43" s="221" t="s">
        <v>221</v>
      </c>
      <c r="AC43" s="191"/>
      <c r="AD43" s="191">
        <f>-250*4</f>
        <v>-1000</v>
      </c>
      <c r="AE43" s="211">
        <f t="shared" si="19"/>
        <v>-1000</v>
      </c>
      <c r="AH43" s="177">
        <v>507</v>
      </c>
      <c r="AI43" s="221" t="s">
        <v>221</v>
      </c>
      <c r="AJ43" s="191"/>
      <c r="AK43" s="191">
        <f>-250*4</f>
        <v>-1000</v>
      </c>
      <c r="AL43" s="211">
        <f t="shared" si="20"/>
        <v>-1000</v>
      </c>
      <c r="AN43" s="151"/>
      <c r="AP43" s="153"/>
      <c r="AQ43" s="153"/>
      <c r="AT43" s="177">
        <v>507</v>
      </c>
      <c r="AU43" s="221" t="s">
        <v>221</v>
      </c>
      <c r="AV43" s="191"/>
      <c r="AW43" s="191">
        <f>-250*4</f>
        <v>-1000</v>
      </c>
      <c r="AX43" s="211">
        <f t="shared" si="21"/>
        <v>-1000</v>
      </c>
      <c r="AZ43" s="151"/>
      <c r="BB43" s="153"/>
      <c r="BC43" s="153"/>
      <c r="BF43" s="177">
        <v>507</v>
      </c>
      <c r="BG43" s="221" t="s">
        <v>64</v>
      </c>
      <c r="BH43" s="191"/>
      <c r="BI43" s="191">
        <f>-250*4</f>
        <v>-1000</v>
      </c>
      <c r="BJ43" s="211">
        <f t="shared" si="22"/>
        <v>-1000</v>
      </c>
      <c r="BL43" s="151"/>
      <c r="BN43" s="153"/>
      <c r="BO43" s="153"/>
      <c r="BT43" s="177">
        <v>507</v>
      </c>
      <c r="BU43" s="221" t="s">
        <v>64</v>
      </c>
      <c r="BV43" s="191"/>
      <c r="BW43" s="191">
        <f>-250*4</f>
        <v>-1000</v>
      </c>
      <c r="BX43" s="211">
        <f t="shared" si="23"/>
        <v>-1000</v>
      </c>
      <c r="BZ43" s="151"/>
      <c r="CB43" s="153"/>
      <c r="CC43" s="153"/>
    </row>
    <row r="44" spans="1:82" x14ac:dyDescent="0.2">
      <c r="A44" s="177"/>
      <c r="B44" s="174"/>
      <c r="C44" s="191"/>
      <c r="D44" s="191"/>
      <c r="E44" s="180"/>
      <c r="H44" s="177"/>
      <c r="I44" s="187"/>
      <c r="J44" s="191"/>
      <c r="K44" s="191"/>
      <c r="L44" s="180"/>
      <c r="N44" s="177"/>
      <c r="O44" s="174"/>
      <c r="P44" s="191"/>
      <c r="Q44" s="191"/>
      <c r="R44" s="181"/>
      <c r="T44" s="177">
        <v>508</v>
      </c>
      <c r="U44" s="221" t="s">
        <v>222</v>
      </c>
      <c r="V44" s="191"/>
      <c r="W44" s="191">
        <f>-175*45</f>
        <v>-7875</v>
      </c>
      <c r="X44" s="211">
        <f t="shared" si="18"/>
        <v>-7875</v>
      </c>
      <c r="Y44" s="219">
        <v>8750</v>
      </c>
      <c r="AA44" s="177">
        <v>508</v>
      </c>
      <c r="AB44" s="221" t="s">
        <v>65</v>
      </c>
      <c r="AC44" s="191"/>
      <c r="AD44" s="191">
        <f>-175*45</f>
        <v>-7875</v>
      </c>
      <c r="AE44" s="211">
        <f t="shared" si="19"/>
        <v>-7875</v>
      </c>
      <c r="AH44" s="177">
        <v>508</v>
      </c>
      <c r="AI44" s="221" t="s">
        <v>65</v>
      </c>
      <c r="AJ44" s="191"/>
      <c r="AK44" s="191">
        <f>-175*45</f>
        <v>-7875</v>
      </c>
      <c r="AL44" s="211">
        <f t="shared" si="20"/>
        <v>-7875</v>
      </c>
      <c r="AN44" s="151"/>
      <c r="AP44" s="153"/>
      <c r="AQ44" s="153"/>
      <c r="AT44" s="177">
        <v>508</v>
      </c>
      <c r="AU44" s="221" t="s">
        <v>65</v>
      </c>
      <c r="AV44" s="191"/>
      <c r="AW44" s="191">
        <f>-175*45</f>
        <v>-7875</v>
      </c>
      <c r="AX44" s="211">
        <f t="shared" si="21"/>
        <v>-7875</v>
      </c>
      <c r="AZ44" s="151"/>
      <c r="BB44" s="153"/>
      <c r="BC44" s="153"/>
      <c r="BF44" s="177">
        <v>508</v>
      </c>
      <c r="BG44" s="221" t="s">
        <v>65</v>
      </c>
      <c r="BH44" s="191"/>
      <c r="BI44" s="191">
        <f>-175*45</f>
        <v>-7875</v>
      </c>
      <c r="BJ44" s="211">
        <f t="shared" si="22"/>
        <v>-7875</v>
      </c>
      <c r="BL44" s="151"/>
      <c r="BN44" s="153"/>
      <c r="BO44" s="153"/>
      <c r="BT44" s="177">
        <v>508</v>
      </c>
      <c r="BU44" s="221" t="s">
        <v>65</v>
      </c>
      <c r="BV44" s="191"/>
      <c r="BW44" s="191">
        <f>-175*45</f>
        <v>-7875</v>
      </c>
      <c r="BX44" s="211">
        <f t="shared" si="23"/>
        <v>-7875</v>
      </c>
      <c r="BZ44" s="151"/>
      <c r="CB44" s="153"/>
      <c r="CC44" s="153"/>
    </row>
    <row r="45" spans="1:82" x14ac:dyDescent="0.2">
      <c r="A45" s="177"/>
      <c r="B45" s="174"/>
      <c r="C45" s="191"/>
      <c r="D45" s="191"/>
      <c r="E45" s="180"/>
      <c r="H45" s="177"/>
      <c r="I45" s="187"/>
      <c r="J45" s="191"/>
      <c r="K45" s="191"/>
      <c r="L45" s="180"/>
      <c r="N45" s="177"/>
      <c r="O45" s="174"/>
      <c r="P45" s="191"/>
      <c r="Q45" s="191"/>
      <c r="R45" s="181"/>
      <c r="T45" s="177">
        <v>509</v>
      </c>
      <c r="U45" s="221" t="s">
        <v>223</v>
      </c>
      <c r="V45" s="191">
        <f>42*1500</f>
        <v>63000</v>
      </c>
      <c r="W45" s="191"/>
      <c r="X45" s="211">
        <f t="shared" si="18"/>
        <v>63000</v>
      </c>
      <c r="Y45" s="219">
        <v>58500</v>
      </c>
      <c r="AA45" s="177">
        <v>509</v>
      </c>
      <c r="AB45" s="221" t="s">
        <v>224</v>
      </c>
      <c r="AC45" s="191">
        <f>45*1000</f>
        <v>45000</v>
      </c>
      <c r="AD45" s="191"/>
      <c r="AE45" s="211">
        <f t="shared" si="19"/>
        <v>45000</v>
      </c>
      <c r="AH45" s="177">
        <v>509</v>
      </c>
      <c r="AI45" s="221" t="s">
        <v>225</v>
      </c>
      <c r="AJ45" s="191">
        <f>AQ37*AQ48</f>
        <v>31653</v>
      </c>
      <c r="AK45" s="191"/>
      <c r="AL45" s="211">
        <f t="shared" si="20"/>
        <v>31653</v>
      </c>
      <c r="AN45" s="151"/>
      <c r="AP45" s="153"/>
      <c r="AQ45" s="153"/>
      <c r="AT45" s="177">
        <v>509</v>
      </c>
      <c r="AU45" s="221" t="s">
        <v>226</v>
      </c>
      <c r="AV45" s="191">
        <f>BC37*BC48</f>
        <v>37325</v>
      </c>
      <c r="AW45" s="191"/>
      <c r="AX45" s="211">
        <f t="shared" si="21"/>
        <v>37325</v>
      </c>
      <c r="AZ45" s="151"/>
      <c r="BB45" s="153"/>
      <c r="BC45" s="153"/>
      <c r="BF45" s="177">
        <v>509</v>
      </c>
      <c r="BG45" s="221" t="s">
        <v>227</v>
      </c>
      <c r="BH45" s="191">
        <f>BO37*BP48</f>
        <v>32000</v>
      </c>
      <c r="BI45" s="191"/>
      <c r="BJ45" s="211">
        <f t="shared" si="22"/>
        <v>32000</v>
      </c>
      <c r="BL45" s="151"/>
      <c r="BN45" s="153"/>
      <c r="BO45" s="153"/>
      <c r="BT45" s="177">
        <v>509</v>
      </c>
      <c r="BU45" s="221" t="s">
        <v>228</v>
      </c>
      <c r="BV45" s="191">
        <f>CC37*CD48</f>
        <v>35200</v>
      </c>
      <c r="BW45" s="191"/>
      <c r="BX45" s="211">
        <f t="shared" si="23"/>
        <v>35200</v>
      </c>
      <c r="BZ45" s="151"/>
      <c r="CB45" s="153"/>
      <c r="CC45" s="153"/>
    </row>
    <row r="46" spans="1:82" x14ac:dyDescent="0.2">
      <c r="A46" s="177"/>
      <c r="B46" s="174" t="s">
        <v>229</v>
      </c>
      <c r="C46" s="191"/>
      <c r="D46" s="191">
        <v>-4000</v>
      </c>
      <c r="E46" s="180">
        <f t="shared" si="15"/>
        <v>-4000</v>
      </c>
      <c r="G46" s="148">
        <v>-2800</v>
      </c>
      <c r="H46" s="177"/>
      <c r="I46" s="187" t="s">
        <v>230</v>
      </c>
      <c r="J46" s="191"/>
      <c r="K46" s="191">
        <f>-150*20</f>
        <v>-3000</v>
      </c>
      <c r="L46" s="180">
        <f t="shared" si="16"/>
        <v>-3000</v>
      </c>
      <c r="N46" s="177">
        <v>504</v>
      </c>
      <c r="O46" s="174" t="s">
        <v>229</v>
      </c>
      <c r="P46" s="191"/>
      <c r="Q46" s="191">
        <v>-4000</v>
      </c>
      <c r="R46" s="181">
        <f t="shared" si="17"/>
        <v>-4000</v>
      </c>
      <c r="T46" s="222">
        <v>510</v>
      </c>
      <c r="U46" s="223" t="s">
        <v>231</v>
      </c>
      <c r="V46" s="191">
        <v>0</v>
      </c>
      <c r="W46" s="174"/>
      <c r="X46" s="222">
        <v>0</v>
      </c>
      <c r="Y46" s="219"/>
      <c r="AA46" s="222">
        <v>510</v>
      </c>
      <c r="AB46" s="223" t="s">
        <v>67</v>
      </c>
      <c r="AC46" s="191">
        <v>0</v>
      </c>
      <c r="AD46" s="174"/>
      <c r="AE46" s="222">
        <v>0</v>
      </c>
      <c r="AH46" s="177">
        <v>510</v>
      </c>
      <c r="AI46" s="223" t="s">
        <v>67</v>
      </c>
      <c r="AJ46" s="191">
        <v>0</v>
      </c>
      <c r="AK46" s="174"/>
      <c r="AL46" s="222">
        <v>0</v>
      </c>
      <c r="AN46" s="151"/>
      <c r="AP46" s="153"/>
      <c r="AQ46" s="153"/>
      <c r="AT46" s="177">
        <v>510</v>
      </c>
      <c r="AU46" s="223" t="s">
        <v>67</v>
      </c>
      <c r="AV46" s="191">
        <v>0</v>
      </c>
      <c r="AW46" s="174"/>
      <c r="AX46" s="222">
        <v>0</v>
      </c>
      <c r="AZ46" s="151"/>
      <c r="BB46" s="153"/>
      <c r="BC46" s="153"/>
      <c r="BF46" s="177">
        <v>510</v>
      </c>
      <c r="BG46" s="223" t="s">
        <v>67</v>
      </c>
      <c r="BH46" s="191">
        <v>0</v>
      </c>
      <c r="BI46" s="174"/>
      <c r="BJ46" s="222">
        <v>0</v>
      </c>
      <c r="BL46" s="151"/>
      <c r="BN46" s="153"/>
      <c r="BO46" s="153"/>
      <c r="BT46" s="177">
        <v>510</v>
      </c>
      <c r="BU46" s="223" t="s">
        <v>67</v>
      </c>
      <c r="BV46" s="191">
        <v>0</v>
      </c>
      <c r="BW46" s="174"/>
      <c r="BX46" s="222">
        <v>0</v>
      </c>
      <c r="BZ46" s="151"/>
      <c r="CB46" s="153"/>
      <c r="CC46" s="153"/>
    </row>
    <row r="47" spans="1:82" ht="13.5" thickBot="1" x14ac:dyDescent="0.25">
      <c r="A47" s="224"/>
      <c r="B47" s="225"/>
      <c r="C47" s="226"/>
      <c r="D47" s="226"/>
      <c r="E47" s="227"/>
      <c r="H47" s="224"/>
      <c r="I47" s="225"/>
      <c r="J47" s="226"/>
      <c r="K47" s="226"/>
      <c r="L47" s="227"/>
      <c r="N47" s="224"/>
      <c r="O47" s="225"/>
      <c r="P47" s="226"/>
      <c r="Q47" s="226"/>
      <c r="R47" s="228"/>
      <c r="T47" s="224">
        <v>511</v>
      </c>
      <c r="U47" s="229" t="s">
        <v>232</v>
      </c>
      <c r="V47" s="230"/>
      <c r="W47" s="226"/>
      <c r="X47" s="192">
        <v>0</v>
      </c>
      <c r="Y47" s="219"/>
      <c r="AA47" s="224">
        <v>511</v>
      </c>
      <c r="AB47" s="229"/>
      <c r="AC47" s="230"/>
      <c r="AD47" s="226"/>
      <c r="AE47" s="192">
        <v>0</v>
      </c>
      <c r="AH47" s="224">
        <v>511</v>
      </c>
      <c r="AI47" s="229"/>
      <c r="AJ47" s="230"/>
      <c r="AK47" s="226"/>
      <c r="AL47" s="192">
        <v>0</v>
      </c>
      <c r="AN47" s="151"/>
      <c r="AP47" s="153"/>
      <c r="AQ47" s="153"/>
      <c r="AT47" s="224">
        <v>511</v>
      </c>
      <c r="AU47" s="229"/>
      <c r="AV47" s="230"/>
      <c r="AW47" s="226"/>
      <c r="AX47" s="192">
        <v>0</v>
      </c>
      <c r="AZ47" s="151"/>
      <c r="BB47" s="153"/>
      <c r="BC47" s="153"/>
      <c r="BF47" s="224">
        <v>511</v>
      </c>
      <c r="BG47" s="229" t="s">
        <v>68</v>
      </c>
      <c r="BH47" s="230">
        <v>0</v>
      </c>
      <c r="BI47" s="226"/>
      <c r="BJ47" s="192">
        <v>0</v>
      </c>
      <c r="BL47" s="151"/>
      <c r="BN47" s="153"/>
      <c r="BO47" s="153"/>
      <c r="BT47" s="224">
        <v>511</v>
      </c>
      <c r="BU47" s="229" t="s">
        <v>68</v>
      </c>
      <c r="BV47" s="230">
        <v>0</v>
      </c>
      <c r="BW47" s="226"/>
      <c r="BX47" s="192">
        <v>0</v>
      </c>
      <c r="BZ47" s="151"/>
      <c r="CB47" s="153"/>
      <c r="CC47" s="153"/>
    </row>
    <row r="48" spans="1:82" ht="13.5" thickBot="1" x14ac:dyDescent="0.25">
      <c r="A48" s="189"/>
      <c r="B48" s="193" t="s">
        <v>233</v>
      </c>
      <c r="C48" s="231"/>
      <c r="D48" s="231"/>
      <c r="E48" s="195">
        <f>SUM(C48:D48)</f>
        <v>0</v>
      </c>
      <c r="H48" s="189"/>
      <c r="I48" s="193"/>
      <c r="J48" s="231"/>
      <c r="K48" s="231"/>
      <c r="L48" s="195">
        <f>SUM(J48:K48)</f>
        <v>0</v>
      </c>
      <c r="N48" s="189"/>
      <c r="O48" s="193"/>
      <c r="P48" s="231"/>
      <c r="Q48" s="231"/>
      <c r="R48" s="196">
        <f>SUM(P48:Q48)</f>
        <v>0</v>
      </c>
      <c r="T48" s="189"/>
      <c r="U48" s="199" t="s">
        <v>234</v>
      </c>
      <c r="V48" s="231"/>
      <c r="W48" s="231"/>
      <c r="X48" s="212">
        <f>SUM(V48:W48)</f>
        <v>0</v>
      </c>
      <c r="Y48" s="219">
        <v>14200</v>
      </c>
      <c r="AA48" s="189"/>
      <c r="AB48" s="193"/>
      <c r="AC48" s="231"/>
      <c r="AD48" s="231"/>
      <c r="AE48" s="212">
        <f>SUM(AC48:AD48)</f>
        <v>0</v>
      </c>
      <c r="AH48" s="189"/>
      <c r="AI48" s="193"/>
      <c r="AJ48" s="231"/>
      <c r="AK48" s="231"/>
      <c r="AL48" s="212">
        <f>SUM(AJ48:AK48)</f>
        <v>0</v>
      </c>
      <c r="AN48" s="151"/>
      <c r="AP48" s="152" t="s">
        <v>50</v>
      </c>
      <c r="AQ48" s="198">
        <f>(ABS(SUM(AK38:AK48))-AN37)/AQ37</f>
        <v>703.4</v>
      </c>
      <c r="AT48" s="189"/>
      <c r="AU48" s="193"/>
      <c r="AV48" s="231"/>
      <c r="AW48" s="231"/>
      <c r="AX48" s="212">
        <f>SUM(AV48:AW48)</f>
        <v>0</v>
      </c>
      <c r="AZ48" s="151"/>
      <c r="BB48" s="152" t="s">
        <v>50</v>
      </c>
      <c r="BC48" s="198">
        <f>(ABS(SUM(AW38:AW48))-AZ37)/BC37</f>
        <v>829.44444444444446</v>
      </c>
      <c r="BF48" s="189"/>
      <c r="BG48" s="193"/>
      <c r="BH48" s="231"/>
      <c r="BI48" s="231"/>
      <c r="BJ48" s="212">
        <f>SUM(BH48:BI48)</f>
        <v>0</v>
      </c>
      <c r="BL48" s="151"/>
      <c r="BN48" s="152" t="s">
        <v>50</v>
      </c>
      <c r="BO48" s="198">
        <f>(ABS(SUM(BI38:BI48))-BL37)/BO37</f>
        <v>787.125</v>
      </c>
      <c r="BP48" s="146">
        <v>800</v>
      </c>
      <c r="BT48" s="189"/>
      <c r="BU48" s="193"/>
      <c r="BV48" s="231"/>
      <c r="BW48" s="231"/>
      <c r="BX48" s="212">
        <f>SUM(BV48:BW48)</f>
        <v>0</v>
      </c>
      <c r="BZ48" s="151"/>
      <c r="CB48" s="152" t="s">
        <v>50</v>
      </c>
      <c r="CC48" s="198">
        <f>(ABS(SUM(BW38:BW48))-BZ37)/CC37</f>
        <v>882.125</v>
      </c>
      <c r="CD48" s="146">
        <v>880</v>
      </c>
    </row>
    <row r="49" spans="1:81" ht="13.5" thickBot="1" x14ac:dyDescent="0.25">
      <c r="E49" s="213">
        <f>SUM(E38:E48)</f>
        <v>-46200</v>
      </c>
      <c r="F49" s="148">
        <v>-17000</v>
      </c>
      <c r="G49" s="148">
        <f>SUM(G38:G48)</f>
        <v>-51940</v>
      </c>
      <c r="L49" s="213">
        <f>SUM(L38:L48)</f>
        <v>-21000</v>
      </c>
      <c r="P49" s="148"/>
      <c r="Q49" s="148"/>
      <c r="R49" s="214">
        <f>SUM(R38:R48)</f>
        <v>-30800</v>
      </c>
      <c r="V49" s="148"/>
      <c r="W49" s="148"/>
      <c r="X49" s="213">
        <f>SUM(X38:X48)</f>
        <v>-21575</v>
      </c>
      <c r="Y49" s="219">
        <v>-16950</v>
      </c>
      <c r="AC49" s="148"/>
      <c r="AD49" s="148"/>
      <c r="AE49" s="213">
        <f>SUM(AE38:AE48)</f>
        <v>-7325</v>
      </c>
      <c r="AJ49" s="148"/>
      <c r="AK49" s="148"/>
      <c r="AL49" s="213">
        <f>SUM(AL38:AL48)</f>
        <v>-18000</v>
      </c>
      <c r="AN49" s="151"/>
      <c r="AP49" s="152" t="s">
        <v>69</v>
      </c>
      <c r="AQ49" s="153"/>
      <c r="AV49" s="148"/>
      <c r="AW49" s="148"/>
      <c r="AX49" s="213">
        <f>SUM(AX38:AX48)</f>
        <v>-15000</v>
      </c>
      <c r="AZ49" s="151"/>
      <c r="BB49" s="152" t="s">
        <v>69</v>
      </c>
      <c r="BC49" s="153"/>
      <c r="BH49" s="148">
        <f>SUM(BH38:BH48)</f>
        <v>32000</v>
      </c>
      <c r="BI49" s="148">
        <f>SUM(BI38:BI48)</f>
        <v>-38485</v>
      </c>
      <c r="BJ49" s="213">
        <f>SUM(BJ38:BJ48)</f>
        <v>-6485</v>
      </c>
      <c r="BL49" s="151"/>
      <c r="BN49" s="152" t="s">
        <v>69</v>
      </c>
      <c r="BO49" s="153"/>
      <c r="BV49" s="148">
        <f>SUM(BV38:BV48)</f>
        <v>35200</v>
      </c>
      <c r="BW49" s="148">
        <f>SUM(BW38:BW48)</f>
        <v>-40285</v>
      </c>
      <c r="BX49" s="213">
        <f>SUM(BX38:BX48)</f>
        <v>-5085</v>
      </c>
      <c r="BZ49" s="151"/>
      <c r="CB49" s="152" t="s">
        <v>69</v>
      </c>
      <c r="CC49" s="153"/>
    </row>
    <row r="50" spans="1:81" x14ac:dyDescent="0.2">
      <c r="E50" s="154"/>
      <c r="L50" s="154"/>
      <c r="P50" s="148"/>
      <c r="Q50" s="148"/>
      <c r="R50" s="215"/>
      <c r="V50" s="148"/>
      <c r="W50" s="148"/>
      <c r="X50" s="154"/>
      <c r="AC50" s="148"/>
      <c r="AD50" s="148"/>
      <c r="AE50" s="154"/>
      <c r="AJ50" s="148"/>
      <c r="AK50" s="148"/>
      <c r="AL50" s="154"/>
      <c r="AN50" s="151"/>
      <c r="AP50" s="153"/>
      <c r="AQ50" s="153"/>
      <c r="AV50" s="148"/>
      <c r="AW50" s="148"/>
      <c r="AX50" s="154"/>
      <c r="AZ50" s="151"/>
      <c r="BB50" s="153"/>
      <c r="BC50" s="153"/>
      <c r="BH50" s="148"/>
      <c r="BI50" s="148"/>
      <c r="BJ50" s="154"/>
      <c r="BL50" s="151"/>
      <c r="BN50" s="153"/>
      <c r="BO50" s="153"/>
      <c r="BV50" s="148"/>
      <c r="BW50" s="148"/>
      <c r="BX50" s="154"/>
      <c r="BZ50" s="151"/>
      <c r="CB50" s="153"/>
      <c r="CC50" s="153"/>
    </row>
    <row r="51" spans="1:81" x14ac:dyDescent="0.2">
      <c r="V51" s="148"/>
      <c r="W51" s="148"/>
      <c r="AC51" s="148"/>
      <c r="AD51" s="148"/>
      <c r="AJ51" s="148"/>
      <c r="AK51" s="148"/>
      <c r="AN51" s="151"/>
      <c r="AP51" s="153"/>
      <c r="AQ51" s="153"/>
      <c r="AV51" s="148"/>
      <c r="AW51" s="148"/>
      <c r="AZ51" s="151"/>
      <c r="BB51" s="153"/>
      <c r="BC51" s="153"/>
      <c r="BH51" s="148"/>
      <c r="BI51" s="148"/>
      <c r="BL51" s="151"/>
      <c r="BN51" s="153"/>
      <c r="BO51" s="153"/>
      <c r="BV51" s="148"/>
      <c r="BW51" s="148"/>
      <c r="BZ51" s="151"/>
      <c r="CB51" s="153"/>
      <c r="CC51" s="153"/>
    </row>
    <row r="52" spans="1:81" ht="20.25" x14ac:dyDescent="0.3">
      <c r="B52" s="155" t="s">
        <v>235</v>
      </c>
      <c r="I52" s="155" t="s">
        <v>236</v>
      </c>
      <c r="O52" s="155" t="s">
        <v>236</v>
      </c>
      <c r="P52" s="148"/>
      <c r="Q52" s="148"/>
      <c r="U52" s="155" t="s">
        <v>237</v>
      </c>
      <c r="V52" s="148"/>
      <c r="W52" s="148"/>
      <c r="Z52" s="149"/>
      <c r="AB52" s="155" t="s">
        <v>238</v>
      </c>
      <c r="AC52" s="148"/>
      <c r="AD52" s="148"/>
      <c r="AI52" s="155" t="s">
        <v>239</v>
      </c>
      <c r="AJ52" s="148"/>
      <c r="AK52" s="148"/>
      <c r="AN52" s="151"/>
      <c r="AP52" s="153"/>
      <c r="AQ52" s="153"/>
      <c r="AU52" s="155" t="s">
        <v>240</v>
      </c>
      <c r="AV52" s="148"/>
      <c r="AW52" s="148"/>
      <c r="AZ52" s="151"/>
      <c r="BB52" s="153"/>
      <c r="BC52" s="153"/>
      <c r="BG52" s="155" t="s">
        <v>241</v>
      </c>
      <c r="BH52" s="148"/>
      <c r="BI52" s="148"/>
      <c r="BL52" s="151"/>
      <c r="BN52" s="153"/>
      <c r="BO52" s="153"/>
      <c r="BU52" s="155" t="s">
        <v>242</v>
      </c>
      <c r="BV52" s="148"/>
      <c r="BW52" s="148"/>
      <c r="BZ52" s="151"/>
      <c r="CB52" s="153"/>
      <c r="CC52" s="153"/>
    </row>
    <row r="53" spans="1:81" ht="13.5" thickBot="1" x14ac:dyDescent="0.25">
      <c r="P53" s="148"/>
      <c r="Q53" s="148"/>
      <c r="U53" s="146" t="s">
        <v>243</v>
      </c>
      <c r="V53" s="148"/>
      <c r="W53" s="148"/>
      <c r="AB53" s="146" t="s">
        <v>244</v>
      </c>
      <c r="AC53" s="148"/>
      <c r="AD53" s="148"/>
      <c r="AI53" s="146" t="s">
        <v>244</v>
      </c>
      <c r="AJ53" s="148"/>
      <c r="AK53" s="148"/>
      <c r="AN53" s="151"/>
      <c r="AP53" s="153"/>
      <c r="AQ53" s="153"/>
      <c r="AV53" s="148"/>
      <c r="AW53" s="148"/>
      <c r="AZ53" s="151"/>
      <c r="BB53" s="153"/>
      <c r="BC53" s="153"/>
      <c r="BH53" s="148"/>
      <c r="BI53" s="148"/>
      <c r="BL53" s="151"/>
      <c r="BN53" s="153"/>
      <c r="BO53" s="153"/>
      <c r="BV53" s="148"/>
      <c r="BW53" s="148"/>
      <c r="BZ53" s="151"/>
      <c r="CB53" s="153"/>
      <c r="CC53" s="153"/>
    </row>
    <row r="54" spans="1:81" ht="18.75" thickBot="1" x14ac:dyDescent="0.3">
      <c r="A54" s="156" t="s">
        <v>36</v>
      </c>
      <c r="B54" s="157" t="s">
        <v>37</v>
      </c>
      <c r="C54" s="158" t="s">
        <v>38</v>
      </c>
      <c r="D54" s="158" t="s">
        <v>39</v>
      </c>
      <c r="E54" s="159" t="s">
        <v>40</v>
      </c>
      <c r="G54" s="148" t="s">
        <v>245</v>
      </c>
      <c r="H54" s="156" t="s">
        <v>36</v>
      </c>
      <c r="I54" s="157" t="s">
        <v>37</v>
      </c>
      <c r="J54" s="158" t="s">
        <v>38</v>
      </c>
      <c r="K54" s="158" t="s">
        <v>39</v>
      </c>
      <c r="L54" s="159" t="s">
        <v>40</v>
      </c>
      <c r="N54" s="156" t="s">
        <v>36</v>
      </c>
      <c r="O54" s="157" t="s">
        <v>37</v>
      </c>
      <c r="P54" s="158" t="s">
        <v>38</v>
      </c>
      <c r="Q54" s="158" t="s">
        <v>39</v>
      </c>
      <c r="R54" s="160" t="s">
        <v>40</v>
      </c>
      <c r="T54" s="156" t="s">
        <v>36</v>
      </c>
      <c r="U54" s="157" t="s">
        <v>37</v>
      </c>
      <c r="V54" s="158" t="s">
        <v>38</v>
      </c>
      <c r="W54" s="158" t="s">
        <v>39</v>
      </c>
      <c r="X54" s="159" t="s">
        <v>40</v>
      </c>
      <c r="AA54" s="156" t="s">
        <v>36</v>
      </c>
      <c r="AB54" s="157" t="s">
        <v>37</v>
      </c>
      <c r="AC54" s="158" t="s">
        <v>38</v>
      </c>
      <c r="AD54" s="158" t="s">
        <v>39</v>
      </c>
      <c r="AE54" s="159" t="s">
        <v>40</v>
      </c>
      <c r="AH54" s="156" t="s">
        <v>36</v>
      </c>
      <c r="AI54" s="157" t="s">
        <v>37</v>
      </c>
      <c r="AJ54" s="158" t="s">
        <v>38</v>
      </c>
      <c r="AK54" s="158" t="s">
        <v>39</v>
      </c>
      <c r="AL54" s="159" t="s">
        <v>40</v>
      </c>
      <c r="AN54" s="151">
        <v>18000</v>
      </c>
      <c r="AP54" s="152" t="s">
        <v>41</v>
      </c>
      <c r="AQ54" s="161">
        <v>32</v>
      </c>
      <c r="AT54" s="156" t="s">
        <v>36</v>
      </c>
      <c r="AU54" s="157" t="s">
        <v>37</v>
      </c>
      <c r="AV54" s="158" t="s">
        <v>38</v>
      </c>
      <c r="AW54" s="158" t="s">
        <v>39</v>
      </c>
      <c r="AX54" s="159" t="s">
        <v>40</v>
      </c>
      <c r="AZ54" s="151">
        <v>15000</v>
      </c>
      <c r="BB54" s="152" t="s">
        <v>41</v>
      </c>
      <c r="BC54" s="161">
        <v>32</v>
      </c>
      <c r="BF54" s="156" t="s">
        <v>36</v>
      </c>
      <c r="BG54" s="157" t="s">
        <v>37</v>
      </c>
      <c r="BH54" s="158" t="s">
        <v>38</v>
      </c>
      <c r="BI54" s="158" t="s">
        <v>39</v>
      </c>
      <c r="BJ54" s="159" t="s">
        <v>40</v>
      </c>
      <c r="BL54" s="151">
        <v>19000</v>
      </c>
      <c r="BM54" s="146">
        <v>13500</v>
      </c>
      <c r="BN54" s="152" t="s">
        <v>41</v>
      </c>
      <c r="BO54" s="161">
        <v>32</v>
      </c>
      <c r="BT54" s="156" t="s">
        <v>36</v>
      </c>
      <c r="BU54" s="157" t="s">
        <v>37</v>
      </c>
      <c r="BV54" s="158" t="s">
        <v>38</v>
      </c>
      <c r="BW54" s="158" t="s">
        <v>39</v>
      </c>
      <c r="BX54" s="159" t="s">
        <v>40</v>
      </c>
      <c r="BZ54" s="151">
        <v>40000</v>
      </c>
      <c r="CA54" s="146">
        <v>13500</v>
      </c>
      <c r="CB54" s="152" t="s">
        <v>41</v>
      </c>
      <c r="CC54" s="161">
        <v>32</v>
      </c>
    </row>
    <row r="55" spans="1:81" x14ac:dyDescent="0.2">
      <c r="A55" s="162"/>
      <c r="B55" s="163" t="s">
        <v>246</v>
      </c>
      <c r="C55" s="216"/>
      <c r="D55" s="216">
        <v>-12500</v>
      </c>
      <c r="E55" s="166">
        <f>SUM(C55:D55)</f>
        <v>-12500</v>
      </c>
      <c r="G55" s="206">
        <v>-10621</v>
      </c>
      <c r="H55" s="162"/>
      <c r="I55" s="163" t="s">
        <v>207</v>
      </c>
      <c r="J55" s="216"/>
      <c r="K55" s="217">
        <v>-10000</v>
      </c>
      <c r="L55" s="166">
        <f>SUM(J55:K55)</f>
        <v>-10000</v>
      </c>
      <c r="M55" s="146" t="s">
        <v>132</v>
      </c>
      <c r="N55" s="162">
        <v>601</v>
      </c>
      <c r="O55" s="163" t="s">
        <v>207</v>
      </c>
      <c r="P55" s="216"/>
      <c r="Q55" s="218">
        <v>-10000</v>
      </c>
      <c r="R55" s="169">
        <f>SUM(P55:Q55)</f>
        <v>-10000</v>
      </c>
      <c r="T55" s="162">
        <v>601</v>
      </c>
      <c r="U55" s="163" t="s">
        <v>247</v>
      </c>
      <c r="V55" s="216"/>
      <c r="W55" s="218">
        <v>-27000</v>
      </c>
      <c r="X55" s="208">
        <f t="shared" ref="X55:X60" si="24">SUM(V55:W55)</f>
        <v>-27000</v>
      </c>
      <c r="Y55" s="148" t="s">
        <v>248</v>
      </c>
      <c r="AA55" s="162">
        <v>601</v>
      </c>
      <c r="AB55" s="163" t="s">
        <v>249</v>
      </c>
      <c r="AC55" s="216"/>
      <c r="AD55" s="218">
        <v>-12000</v>
      </c>
      <c r="AE55" s="208">
        <f t="shared" ref="AE55:AE62" si="25">SUM(AC55:AD55)</f>
        <v>-12000</v>
      </c>
      <c r="AH55" s="162">
        <v>601</v>
      </c>
      <c r="AI55" s="163" t="s">
        <v>249</v>
      </c>
      <c r="AJ55" s="216"/>
      <c r="AK55" s="220">
        <v>-11872</v>
      </c>
      <c r="AL55" s="208">
        <f>SUM(AJ55:AK55)</f>
        <v>-11872</v>
      </c>
      <c r="AN55" s="151"/>
      <c r="AP55" s="153"/>
      <c r="AQ55" s="153"/>
      <c r="AT55" s="162">
        <v>601</v>
      </c>
      <c r="AU55" s="163" t="s">
        <v>250</v>
      </c>
      <c r="AV55" s="216"/>
      <c r="AW55" s="220">
        <v>-12000</v>
      </c>
      <c r="AX55" s="208">
        <f>SUM(AV55:AW55)</f>
        <v>-12000</v>
      </c>
      <c r="AZ55" s="151"/>
      <c r="BB55" s="153"/>
      <c r="BC55" s="153"/>
      <c r="BF55" s="162">
        <v>601</v>
      </c>
      <c r="BG55" s="163" t="s">
        <v>251</v>
      </c>
      <c r="BH55" s="216"/>
      <c r="BI55" s="220">
        <v>-14000</v>
      </c>
      <c r="BJ55" s="208">
        <f>SUM(BH55:BI55)</f>
        <v>-14000</v>
      </c>
      <c r="BL55" s="151"/>
      <c r="BN55" s="153"/>
      <c r="BO55" s="153"/>
      <c r="BT55" s="162">
        <v>601</v>
      </c>
      <c r="BU55" s="173" t="s">
        <v>252</v>
      </c>
      <c r="BV55" s="216"/>
      <c r="BW55" s="220">
        <v>-30000</v>
      </c>
      <c r="BX55" s="208">
        <f>SUM(BV55:BW55)</f>
        <v>-30000</v>
      </c>
      <c r="BZ55" s="151"/>
      <c r="CB55" s="153"/>
      <c r="CC55" s="153"/>
    </row>
    <row r="56" spans="1:81" x14ac:dyDescent="0.2">
      <c r="A56" s="162"/>
      <c r="B56" s="163" t="s">
        <v>253</v>
      </c>
      <c r="C56" s="216"/>
      <c r="D56" s="216">
        <v>-600</v>
      </c>
      <c r="E56" s="166">
        <f>SUM(C56:D56)</f>
        <v>-600</v>
      </c>
      <c r="G56" s="148" t="s">
        <v>209</v>
      </c>
      <c r="H56" s="162"/>
      <c r="I56" s="163" t="s">
        <v>253</v>
      </c>
      <c r="J56" s="216"/>
      <c r="K56" s="216">
        <v>0</v>
      </c>
      <c r="L56" s="166">
        <f>SUM(J56:K56)</f>
        <v>0</v>
      </c>
      <c r="N56" s="162">
        <v>602</v>
      </c>
      <c r="O56" s="163" t="s">
        <v>253</v>
      </c>
      <c r="P56" s="216"/>
      <c r="Q56" s="216">
        <v>0</v>
      </c>
      <c r="R56" s="169">
        <f>SUM(P56:Q56)</f>
        <v>0</v>
      </c>
      <c r="T56" s="162">
        <v>602</v>
      </c>
      <c r="U56" s="163" t="s">
        <v>54</v>
      </c>
      <c r="V56" s="216"/>
      <c r="W56" s="216">
        <v>-1600</v>
      </c>
      <c r="X56" s="208">
        <f t="shared" si="24"/>
        <v>-1600</v>
      </c>
      <c r="AA56" s="162">
        <v>602</v>
      </c>
      <c r="AB56" s="163" t="s">
        <v>54</v>
      </c>
      <c r="AC56" s="216"/>
      <c r="AD56" s="216">
        <v>-1600</v>
      </c>
      <c r="AE56" s="208">
        <f t="shared" si="25"/>
        <v>-1600</v>
      </c>
      <c r="AH56" s="162">
        <v>602</v>
      </c>
      <c r="AI56" s="163" t="s">
        <v>54</v>
      </c>
      <c r="AJ56" s="216"/>
      <c r="AK56" s="216">
        <v>-1200</v>
      </c>
      <c r="AL56" s="208">
        <f>SUM(AJ56:AK56)</f>
        <v>-1200</v>
      </c>
      <c r="AN56" s="151"/>
      <c r="AP56" s="153"/>
      <c r="AQ56" s="153"/>
      <c r="AT56" s="162">
        <v>602</v>
      </c>
      <c r="AU56" s="163" t="s">
        <v>54</v>
      </c>
      <c r="AV56" s="216"/>
      <c r="AW56" s="216">
        <v>-1200</v>
      </c>
      <c r="AX56" s="208">
        <f>SUM(AV56:AW56)</f>
        <v>-1200</v>
      </c>
      <c r="AZ56" s="151"/>
      <c r="BB56" s="153"/>
      <c r="BC56" s="153"/>
      <c r="BF56" s="162">
        <v>602</v>
      </c>
      <c r="BG56" s="163" t="s">
        <v>54</v>
      </c>
      <c r="BH56" s="216"/>
      <c r="BI56" s="216">
        <v>-1200</v>
      </c>
      <c r="BJ56" s="208">
        <f>SUM(BH56:BI56)</f>
        <v>-1200</v>
      </c>
      <c r="BL56" s="151"/>
      <c r="BN56" s="153"/>
      <c r="BO56" s="153"/>
      <c r="BT56" s="162">
        <v>602</v>
      </c>
      <c r="BU56" s="163" t="s">
        <v>176</v>
      </c>
      <c r="BV56" s="216"/>
      <c r="BW56" s="216">
        <v>-3000</v>
      </c>
      <c r="BX56" s="208">
        <f>SUM(BV56:BW56)</f>
        <v>-3000</v>
      </c>
      <c r="BZ56" s="151"/>
      <c r="CB56" s="153"/>
      <c r="CC56" s="153"/>
    </row>
    <row r="57" spans="1:81" x14ac:dyDescent="0.2">
      <c r="A57" s="177"/>
      <c r="B57" s="174" t="s">
        <v>254</v>
      </c>
      <c r="C57" s="191"/>
      <c r="D57" s="191">
        <v>-12000</v>
      </c>
      <c r="E57" s="180">
        <f>SUM(C57:D57)</f>
        <v>-12000</v>
      </c>
      <c r="G57" s="148">
        <v>-15095</v>
      </c>
      <c r="H57" s="177"/>
      <c r="I57" s="174" t="s">
        <v>254</v>
      </c>
      <c r="J57" s="191"/>
      <c r="K57" s="191">
        <v>-16000</v>
      </c>
      <c r="L57" s="180">
        <f>SUM(J57:K57)</f>
        <v>-16000</v>
      </c>
      <c r="N57" s="177">
        <v>603</v>
      </c>
      <c r="O57" s="174" t="s">
        <v>254</v>
      </c>
      <c r="P57" s="191"/>
      <c r="Q57" s="191">
        <v>-16000</v>
      </c>
      <c r="R57" s="181">
        <f>SUM(P57:Q57)</f>
        <v>-16000</v>
      </c>
      <c r="T57" s="177">
        <v>603</v>
      </c>
      <c r="U57" s="174" t="s">
        <v>255</v>
      </c>
      <c r="V57" s="191"/>
      <c r="W57" s="191">
        <f>-400*32</f>
        <v>-12800</v>
      </c>
      <c r="X57" s="211">
        <f t="shared" si="24"/>
        <v>-12800</v>
      </c>
      <c r="AA57" s="177">
        <v>603</v>
      </c>
      <c r="AB57" s="174" t="s">
        <v>256</v>
      </c>
      <c r="AC57" s="191"/>
      <c r="AD57" s="191">
        <f>-600*32</f>
        <v>-19200</v>
      </c>
      <c r="AE57" s="211">
        <f>SUM(AC57:AD57)</f>
        <v>-19200</v>
      </c>
      <c r="AH57" s="177">
        <v>603</v>
      </c>
      <c r="AI57" s="174" t="s">
        <v>256</v>
      </c>
      <c r="AJ57" s="191"/>
      <c r="AK57" s="191">
        <f>-600*32</f>
        <v>-19200</v>
      </c>
      <c r="AL57" s="211">
        <f>SUM(AJ57:AK57)</f>
        <v>-19200</v>
      </c>
      <c r="AN57" s="151"/>
      <c r="AP57" s="153"/>
      <c r="AQ57" s="153"/>
      <c r="AT57" s="177">
        <v>603</v>
      </c>
      <c r="AU57" s="174" t="s">
        <v>256</v>
      </c>
      <c r="AV57" s="191"/>
      <c r="AW57" s="191">
        <f>-600*32</f>
        <v>-19200</v>
      </c>
      <c r="AX57" s="211">
        <f>SUM(AV57:AW57)</f>
        <v>-19200</v>
      </c>
      <c r="AZ57" s="151"/>
      <c r="BB57" s="153"/>
      <c r="BC57" s="153"/>
      <c r="BF57" s="177">
        <v>603</v>
      </c>
      <c r="BG57" s="174" t="s">
        <v>257</v>
      </c>
      <c r="BH57" s="191"/>
      <c r="BI57" s="191">
        <f>-800*32</f>
        <v>-25600</v>
      </c>
      <c r="BJ57" s="211">
        <f>SUM(BH57:BI57)</f>
        <v>-25600</v>
      </c>
      <c r="BL57" s="151"/>
      <c r="BN57" s="153"/>
      <c r="BO57" s="153"/>
      <c r="BT57" s="177">
        <v>603</v>
      </c>
      <c r="BU57" s="184" t="s">
        <v>72</v>
      </c>
      <c r="BV57" s="191"/>
      <c r="BW57" s="191">
        <f>-1200*32</f>
        <v>-38400</v>
      </c>
      <c r="BX57" s="211">
        <f>SUM(BV57:BW57)</f>
        <v>-38400</v>
      </c>
      <c r="BZ57" s="151"/>
      <c r="CB57" s="153"/>
      <c r="CC57" s="153"/>
    </row>
    <row r="58" spans="1:81" x14ac:dyDescent="0.2">
      <c r="A58" s="177"/>
      <c r="B58" s="174" t="s">
        <v>258</v>
      </c>
      <c r="C58" s="191"/>
      <c r="D58" s="191">
        <v>-11000</v>
      </c>
      <c r="E58" s="180">
        <f>SUM(C58:D58)</f>
        <v>-11000</v>
      </c>
      <c r="G58" s="148">
        <v>-10200</v>
      </c>
      <c r="H58" s="177"/>
      <c r="I58" s="174" t="s">
        <v>258</v>
      </c>
      <c r="J58" s="191"/>
      <c r="K58" s="191">
        <v>-11000</v>
      </c>
      <c r="L58" s="180">
        <f>SUM(J58:K58)</f>
        <v>-11000</v>
      </c>
      <c r="N58" s="177">
        <v>604</v>
      </c>
      <c r="O58" s="174" t="s">
        <v>258</v>
      </c>
      <c r="P58" s="191"/>
      <c r="Q58" s="191">
        <v>-11000</v>
      </c>
      <c r="R58" s="181">
        <f>SUM(P58:Q58)</f>
        <v>-11000</v>
      </c>
      <c r="T58" s="177">
        <v>604</v>
      </c>
      <c r="U58" s="174" t="s">
        <v>259</v>
      </c>
      <c r="V58" s="191"/>
      <c r="W58" s="191">
        <f>-260*2*32-8000</f>
        <v>-24640</v>
      </c>
      <c r="X58" s="211">
        <f t="shared" si="24"/>
        <v>-24640</v>
      </c>
      <c r="Y58" s="148" t="s">
        <v>260</v>
      </c>
      <c r="AA58" s="177">
        <v>604</v>
      </c>
      <c r="AB58" s="174" t="s">
        <v>261</v>
      </c>
      <c r="AC58" s="191"/>
      <c r="AD58" s="191">
        <f>-600*4</f>
        <v>-2400</v>
      </c>
      <c r="AE58" s="211">
        <f>SUM(AC58:AD58)</f>
        <v>-2400</v>
      </c>
      <c r="AH58" s="177">
        <v>604</v>
      </c>
      <c r="AI58" s="174" t="s">
        <v>261</v>
      </c>
      <c r="AJ58" s="191"/>
      <c r="AK58" s="191">
        <f>-600*4</f>
        <v>-2400</v>
      </c>
      <c r="AL58" s="211">
        <f>SUM(AJ58:AK58)</f>
        <v>-2400</v>
      </c>
      <c r="AN58" s="151"/>
      <c r="AP58" s="153"/>
      <c r="AQ58" s="153"/>
      <c r="AT58" s="177">
        <v>604</v>
      </c>
      <c r="AU58" s="174" t="s">
        <v>261</v>
      </c>
      <c r="AV58" s="191"/>
      <c r="AW58" s="191">
        <f>-600*4</f>
        <v>-2400</v>
      </c>
      <c r="AX58" s="211">
        <f>SUM(AV58:AW58)</f>
        <v>-2400</v>
      </c>
      <c r="AZ58" s="151"/>
      <c r="BB58" s="153"/>
      <c r="BC58" s="153"/>
      <c r="BF58" s="177">
        <v>604</v>
      </c>
      <c r="BG58" s="174" t="s">
        <v>262</v>
      </c>
      <c r="BH58" s="191"/>
      <c r="BI58" s="191">
        <f>-800*4</f>
        <v>-3200</v>
      </c>
      <c r="BJ58" s="211">
        <f>SUM(BH58:BI58)</f>
        <v>-3200</v>
      </c>
      <c r="BL58" s="151"/>
      <c r="BN58" s="153"/>
      <c r="BO58" s="153"/>
      <c r="BT58" s="177">
        <v>604</v>
      </c>
      <c r="BU58" s="184" t="s">
        <v>73</v>
      </c>
      <c r="BV58" s="191"/>
      <c r="BW58" s="191">
        <f>-1200*4</f>
        <v>-4800</v>
      </c>
      <c r="BX58" s="211">
        <f>SUM(BV58:BW58)</f>
        <v>-4800</v>
      </c>
      <c r="BZ58" s="151"/>
      <c r="CB58" s="153"/>
      <c r="CC58" s="153"/>
    </row>
    <row r="59" spans="1:81" x14ac:dyDescent="0.2">
      <c r="A59" s="177"/>
      <c r="B59" s="174"/>
      <c r="C59" s="191"/>
      <c r="D59" s="191"/>
      <c r="E59" s="180"/>
      <c r="H59" s="177"/>
      <c r="I59" s="174"/>
      <c r="J59" s="191"/>
      <c r="K59" s="191"/>
      <c r="L59" s="180"/>
      <c r="N59" s="177"/>
      <c r="O59" s="174"/>
      <c r="P59" s="191"/>
      <c r="Q59" s="191"/>
      <c r="R59" s="181"/>
      <c r="T59" s="177">
        <v>605</v>
      </c>
      <c r="U59" s="174" t="s">
        <v>263</v>
      </c>
      <c r="V59" s="191"/>
      <c r="W59" s="191">
        <f>-650*4</f>
        <v>-2600</v>
      </c>
      <c r="X59" s="211">
        <f t="shared" si="24"/>
        <v>-2600</v>
      </c>
      <c r="AA59" s="177">
        <v>605</v>
      </c>
      <c r="AB59" s="174" t="s">
        <v>74</v>
      </c>
      <c r="AC59" s="191"/>
      <c r="AD59" s="191">
        <f>-610*32</f>
        <v>-19520</v>
      </c>
      <c r="AE59" s="211">
        <f>AD59</f>
        <v>-19520</v>
      </c>
      <c r="AH59" s="177">
        <v>605</v>
      </c>
      <c r="AI59" s="174" t="s">
        <v>74</v>
      </c>
      <c r="AJ59" s="191"/>
      <c r="AK59" s="191">
        <f>-610*32</f>
        <v>-19520</v>
      </c>
      <c r="AL59" s="211">
        <f>AK59</f>
        <v>-19520</v>
      </c>
      <c r="AN59" s="151"/>
      <c r="AP59" s="153"/>
      <c r="AQ59" s="153"/>
      <c r="AT59" s="177">
        <v>605</v>
      </c>
      <c r="AU59" s="174" t="s">
        <v>74</v>
      </c>
      <c r="AV59" s="191"/>
      <c r="AW59" s="191">
        <f>-610*32</f>
        <v>-19520</v>
      </c>
      <c r="AX59" s="211">
        <f>AW59</f>
        <v>-19520</v>
      </c>
      <c r="AZ59" s="151"/>
      <c r="BB59" s="153"/>
      <c r="BC59" s="153"/>
      <c r="BF59" s="177">
        <v>605</v>
      </c>
      <c r="BG59" s="174" t="s">
        <v>74</v>
      </c>
      <c r="BH59" s="191"/>
      <c r="BI59" s="191">
        <f>-610*BO54</f>
        <v>-19520</v>
      </c>
      <c r="BJ59" s="211">
        <f>BI59</f>
        <v>-19520</v>
      </c>
      <c r="BL59" s="151"/>
      <c r="BN59" s="153"/>
      <c r="BO59" s="153"/>
      <c r="BT59" s="177">
        <v>605</v>
      </c>
      <c r="BU59" s="174" t="s">
        <v>74</v>
      </c>
      <c r="BV59" s="191"/>
      <c r="BW59" s="191">
        <f>-610*CC54</f>
        <v>-19520</v>
      </c>
      <c r="BX59" s="211">
        <f>BW59</f>
        <v>-19520</v>
      </c>
      <c r="BZ59" s="151"/>
      <c r="CB59" s="153"/>
      <c r="CC59" s="153"/>
    </row>
    <row r="60" spans="1:81" x14ac:dyDescent="0.2">
      <c r="A60" s="177"/>
      <c r="B60" s="174" t="s">
        <v>264</v>
      </c>
      <c r="C60" s="191">
        <v>18000</v>
      </c>
      <c r="D60" s="191"/>
      <c r="E60" s="180">
        <f>SUM(C60:D60)</f>
        <v>18000</v>
      </c>
      <c r="G60" s="186">
        <f>950*21</f>
        <v>19950</v>
      </c>
      <c r="H60" s="177"/>
      <c r="I60" s="174" t="s">
        <v>265</v>
      </c>
      <c r="J60" s="191">
        <v>20000</v>
      </c>
      <c r="K60" s="191"/>
      <c r="L60" s="180">
        <f>SUM(J60:K60)</f>
        <v>20000</v>
      </c>
      <c r="N60" s="177">
        <v>605</v>
      </c>
      <c r="O60" s="174" t="s">
        <v>265</v>
      </c>
      <c r="P60" s="191">
        <v>20000</v>
      </c>
      <c r="Q60" s="191"/>
      <c r="R60" s="181">
        <f>SUM(P60:Q60)</f>
        <v>20000</v>
      </c>
      <c r="T60" s="224">
        <v>606</v>
      </c>
      <c r="U60" s="174" t="s">
        <v>266</v>
      </c>
      <c r="V60" s="232">
        <f>32*1000</f>
        <v>32000</v>
      </c>
      <c r="W60" s="191"/>
      <c r="X60" s="211">
        <f t="shared" si="24"/>
        <v>32000</v>
      </c>
      <c r="AA60" s="224">
        <v>606</v>
      </c>
      <c r="AB60" s="174" t="s">
        <v>75</v>
      </c>
      <c r="AC60" s="191"/>
      <c r="AD60" s="191">
        <f>-1000*8</f>
        <v>-8000</v>
      </c>
      <c r="AE60" s="211">
        <f>AD60</f>
        <v>-8000</v>
      </c>
      <c r="AH60" s="224">
        <v>606</v>
      </c>
      <c r="AI60" s="174" t="s">
        <v>75</v>
      </c>
      <c r="AJ60" s="191"/>
      <c r="AK60" s="191">
        <f>-1000*8</f>
        <v>-8000</v>
      </c>
      <c r="AL60" s="211">
        <f>AK60</f>
        <v>-8000</v>
      </c>
      <c r="AN60" s="151"/>
      <c r="AP60" s="153"/>
      <c r="AQ60" s="153"/>
      <c r="AT60" s="224">
        <v>606</v>
      </c>
      <c r="AU60" s="174" t="s">
        <v>75</v>
      </c>
      <c r="AV60" s="191"/>
      <c r="AW60" s="191">
        <f>-1000*8</f>
        <v>-8000</v>
      </c>
      <c r="AX60" s="211">
        <f>AW60</f>
        <v>-8000</v>
      </c>
      <c r="AZ60" s="151"/>
      <c r="BB60" s="153"/>
      <c r="BC60" s="153"/>
      <c r="BF60" s="224">
        <v>606</v>
      </c>
      <c r="BG60" s="174" t="s">
        <v>75</v>
      </c>
      <c r="BH60" s="191"/>
      <c r="BI60" s="191">
        <f>-1000*8</f>
        <v>-8000</v>
      </c>
      <c r="BJ60" s="211">
        <f>BI60</f>
        <v>-8000</v>
      </c>
      <c r="BL60" s="151"/>
      <c r="BN60" s="153"/>
      <c r="BO60" s="153"/>
      <c r="BT60" s="224">
        <v>606</v>
      </c>
      <c r="BU60" s="174" t="s">
        <v>75</v>
      </c>
      <c r="BV60" s="191"/>
      <c r="BW60" s="191">
        <f>-1000*8</f>
        <v>-8000</v>
      </c>
      <c r="BX60" s="211">
        <f>BW60</f>
        <v>-8000</v>
      </c>
      <c r="BZ60" s="151"/>
      <c r="CB60" s="153"/>
      <c r="CC60" s="153"/>
    </row>
    <row r="61" spans="1:81" x14ac:dyDescent="0.2">
      <c r="A61" s="224"/>
      <c r="B61" s="233" t="s">
        <v>267</v>
      </c>
      <c r="C61" s="226"/>
      <c r="D61" s="226"/>
      <c r="E61" s="227"/>
      <c r="G61" s="148">
        <v>-590</v>
      </c>
      <c r="H61" s="224"/>
      <c r="I61" s="225"/>
      <c r="J61" s="226"/>
      <c r="K61" s="226"/>
      <c r="L61" s="227"/>
      <c r="N61" s="224"/>
      <c r="O61" s="225"/>
      <c r="P61" s="226"/>
      <c r="Q61" s="226"/>
      <c r="R61" s="228"/>
      <c r="T61" s="224">
        <v>607</v>
      </c>
      <c r="U61" s="229" t="s">
        <v>78</v>
      </c>
      <c r="V61" s="226">
        <v>0</v>
      </c>
      <c r="W61" s="226"/>
      <c r="X61" s="192">
        <v>0</v>
      </c>
      <c r="AA61" s="224">
        <v>607</v>
      </c>
      <c r="AB61" s="174" t="s">
        <v>76</v>
      </c>
      <c r="AC61" s="191"/>
      <c r="AD61" s="191">
        <f>-390*4</f>
        <v>-1560</v>
      </c>
      <c r="AE61" s="211">
        <f t="shared" si="25"/>
        <v>-1560</v>
      </c>
      <c r="AH61" s="224">
        <v>607</v>
      </c>
      <c r="AI61" s="174" t="s">
        <v>76</v>
      </c>
      <c r="AJ61" s="191"/>
      <c r="AK61" s="191">
        <f>-390*4</f>
        <v>-1560</v>
      </c>
      <c r="AL61" s="211">
        <f>SUM(AJ61:AK61)</f>
        <v>-1560</v>
      </c>
      <c r="AN61" s="151"/>
      <c r="AP61" s="153"/>
      <c r="AQ61" s="153"/>
      <c r="AT61" s="224">
        <v>607</v>
      </c>
      <c r="AU61" s="174" t="s">
        <v>76</v>
      </c>
      <c r="AV61" s="191"/>
      <c r="AW61" s="191">
        <f>-390*4</f>
        <v>-1560</v>
      </c>
      <c r="AX61" s="211">
        <f>SUM(AV61:AW61)</f>
        <v>-1560</v>
      </c>
      <c r="AZ61" s="151"/>
      <c r="BB61" s="153"/>
      <c r="BC61" s="153"/>
      <c r="BF61" s="224">
        <v>607</v>
      </c>
      <c r="BG61" s="174" t="s">
        <v>76</v>
      </c>
      <c r="BH61" s="191"/>
      <c r="BI61" s="191">
        <f>-390*4</f>
        <v>-1560</v>
      </c>
      <c r="BJ61" s="211">
        <f>SUM(BH61:BI61)</f>
        <v>-1560</v>
      </c>
      <c r="BL61" s="151"/>
      <c r="BN61" s="153"/>
      <c r="BO61" s="153"/>
      <c r="BT61" s="224">
        <v>607</v>
      </c>
      <c r="BU61" s="174" t="s">
        <v>76</v>
      </c>
      <c r="BV61" s="191"/>
      <c r="BW61" s="191">
        <f>-390*4</f>
        <v>-1560</v>
      </c>
      <c r="BX61" s="211">
        <f>SUM(BV61:BW61)</f>
        <v>-1560</v>
      </c>
      <c r="BZ61" s="151"/>
      <c r="CB61" s="153"/>
      <c r="CC61" s="153"/>
    </row>
    <row r="62" spans="1:81" x14ac:dyDescent="0.2">
      <c r="A62" s="224"/>
      <c r="B62" s="225" t="s">
        <v>268</v>
      </c>
      <c r="C62" s="226"/>
      <c r="D62" s="226"/>
      <c r="E62" s="227"/>
      <c r="H62" s="224"/>
      <c r="I62" s="225"/>
      <c r="J62" s="226"/>
      <c r="K62" s="226"/>
      <c r="L62" s="227"/>
      <c r="N62" s="224"/>
      <c r="O62" s="225"/>
      <c r="P62" s="226"/>
      <c r="Q62" s="226"/>
      <c r="R62" s="228"/>
      <c r="T62" s="224">
        <v>608</v>
      </c>
      <c r="U62" s="229" t="s">
        <v>269</v>
      </c>
      <c r="V62" s="230" t="s">
        <v>270</v>
      </c>
      <c r="W62" s="226"/>
      <c r="X62" s="192"/>
      <c r="AA62" s="224">
        <v>608</v>
      </c>
      <c r="AB62" s="174" t="s">
        <v>271</v>
      </c>
      <c r="AC62" s="232">
        <f>32*1600</f>
        <v>51200</v>
      </c>
      <c r="AD62" s="191"/>
      <c r="AE62" s="211">
        <f t="shared" si="25"/>
        <v>51200</v>
      </c>
      <c r="AH62" s="224">
        <v>608</v>
      </c>
      <c r="AI62" s="174" t="s">
        <v>77</v>
      </c>
      <c r="AJ62" s="232">
        <f>AQ54*AQ66</f>
        <v>45752</v>
      </c>
      <c r="AK62" s="191"/>
      <c r="AL62" s="211">
        <f>SUM(AJ62:AK62)</f>
        <v>45752</v>
      </c>
      <c r="AN62" s="151"/>
      <c r="AP62" s="153"/>
      <c r="AQ62" s="153"/>
      <c r="AT62" s="224">
        <v>608</v>
      </c>
      <c r="AU62" s="174" t="s">
        <v>77</v>
      </c>
      <c r="AV62" s="232">
        <f>BC54*BC66</f>
        <v>48880</v>
      </c>
      <c r="AW62" s="191"/>
      <c r="AX62" s="211">
        <f>SUM(AV62:AW62)</f>
        <v>48880</v>
      </c>
      <c r="AZ62" s="151"/>
      <c r="BB62" s="153"/>
      <c r="BC62" s="153"/>
      <c r="BF62" s="224">
        <v>608</v>
      </c>
      <c r="BG62" s="174" t="s">
        <v>77</v>
      </c>
      <c r="BH62" s="232">
        <f>BO54*BP66</f>
        <v>56000</v>
      </c>
      <c r="BI62" s="191"/>
      <c r="BJ62" s="211">
        <f>SUM(BH62:BI62)</f>
        <v>56000</v>
      </c>
      <c r="BL62" s="151"/>
      <c r="BN62" s="153"/>
      <c r="BO62" s="153"/>
      <c r="BT62" s="224">
        <v>608</v>
      </c>
      <c r="BU62" s="184" t="s">
        <v>272</v>
      </c>
      <c r="BV62" s="232">
        <f>CC54*CD66</f>
        <v>67200</v>
      </c>
      <c r="BW62" s="191"/>
      <c r="BX62" s="211">
        <f>SUM(BV62:BW62)</f>
        <v>67200</v>
      </c>
      <c r="BZ62" s="151"/>
      <c r="CB62" s="153"/>
      <c r="CC62" s="153"/>
    </row>
    <row r="63" spans="1:81" x14ac:dyDescent="0.2">
      <c r="A63" s="224"/>
      <c r="B63" s="225"/>
      <c r="C63" s="226"/>
      <c r="D63" s="226"/>
      <c r="E63" s="227"/>
      <c r="H63" s="224"/>
      <c r="I63" s="225"/>
      <c r="J63" s="226"/>
      <c r="K63" s="226"/>
      <c r="L63" s="227"/>
      <c r="N63" s="224"/>
      <c r="O63" s="225"/>
      <c r="P63" s="226"/>
      <c r="Q63" s="226"/>
      <c r="R63" s="228"/>
      <c r="T63" s="224">
        <v>609</v>
      </c>
      <c r="U63" s="229" t="s">
        <v>273</v>
      </c>
      <c r="V63" s="230" t="s">
        <v>270</v>
      </c>
      <c r="W63" s="226"/>
      <c r="X63" s="192"/>
      <c r="Y63" s="148" t="s">
        <v>274</v>
      </c>
      <c r="AA63" s="224">
        <v>609</v>
      </c>
      <c r="AB63" s="229"/>
      <c r="AC63" s="226"/>
      <c r="AD63" s="226"/>
      <c r="AE63" s="192"/>
      <c r="AH63" s="224">
        <v>609</v>
      </c>
      <c r="AI63" s="229"/>
      <c r="AJ63" s="226"/>
      <c r="AK63" s="226"/>
      <c r="AL63" s="192"/>
      <c r="AN63" s="151"/>
      <c r="AP63" s="153"/>
      <c r="AQ63" s="153"/>
      <c r="AT63" s="224">
        <v>609</v>
      </c>
      <c r="AU63" s="229"/>
      <c r="AV63" s="226"/>
      <c r="AW63" s="226"/>
      <c r="AX63" s="192"/>
      <c r="AZ63" s="151"/>
      <c r="BB63" s="153"/>
      <c r="BC63" s="153"/>
      <c r="BF63" s="224">
        <v>609</v>
      </c>
      <c r="BG63" s="229" t="s">
        <v>78</v>
      </c>
      <c r="BH63" s="226">
        <v>0</v>
      </c>
      <c r="BI63" s="226"/>
      <c r="BJ63" s="192"/>
      <c r="BL63" s="151"/>
      <c r="BN63" s="153"/>
      <c r="BO63" s="153"/>
      <c r="BT63" s="224">
        <v>609</v>
      </c>
      <c r="BU63" s="229" t="s">
        <v>78</v>
      </c>
      <c r="BV63" s="226">
        <v>0</v>
      </c>
      <c r="BW63" s="226"/>
      <c r="BX63" s="192"/>
      <c r="BZ63" s="151"/>
      <c r="CB63" s="153"/>
      <c r="CC63" s="153"/>
    </row>
    <row r="64" spans="1:81" ht="13.5" thickBot="1" x14ac:dyDescent="0.25">
      <c r="A64" s="189"/>
      <c r="B64" s="193" t="s">
        <v>275</v>
      </c>
      <c r="C64" s="231"/>
      <c r="D64" s="231"/>
      <c r="E64" s="195">
        <f>SUM(C64:D64)</f>
        <v>0</v>
      </c>
      <c r="H64" s="189"/>
      <c r="I64" s="193"/>
      <c r="J64" s="231"/>
      <c r="K64" s="231"/>
      <c r="L64" s="195">
        <f>SUM(J64:K64)</f>
        <v>0</v>
      </c>
      <c r="N64" s="189"/>
      <c r="O64" s="193"/>
      <c r="P64" s="231"/>
      <c r="Q64" s="231"/>
      <c r="R64" s="196">
        <f>SUM(P64:Q64)</f>
        <v>0</v>
      </c>
      <c r="T64" s="189"/>
      <c r="U64" s="193"/>
      <c r="V64" s="231"/>
      <c r="W64" s="231"/>
      <c r="X64" s="212">
        <f>SUM(V64:W64)</f>
        <v>0</v>
      </c>
      <c r="AA64" s="224">
        <v>610</v>
      </c>
      <c r="AB64" s="229"/>
      <c r="AC64" s="230"/>
      <c r="AD64" s="226"/>
      <c r="AE64" s="192"/>
      <c r="AH64" s="224">
        <v>610</v>
      </c>
      <c r="AI64" s="229"/>
      <c r="AJ64" s="230"/>
      <c r="AK64" s="226"/>
      <c r="AL64" s="192"/>
      <c r="AN64" s="151"/>
      <c r="AP64" s="153"/>
      <c r="AQ64" s="153"/>
      <c r="AT64" s="224">
        <v>610</v>
      </c>
      <c r="AU64" s="229"/>
      <c r="AV64" s="230"/>
      <c r="AW64" s="226"/>
      <c r="AX64" s="192"/>
      <c r="AZ64" s="151"/>
      <c r="BB64" s="153"/>
      <c r="BC64" s="153"/>
      <c r="BF64" s="224">
        <v>610</v>
      </c>
      <c r="BG64" s="229"/>
      <c r="BH64" s="230"/>
      <c r="BI64" s="226"/>
      <c r="BJ64" s="192"/>
      <c r="BL64" s="151"/>
      <c r="BN64" s="153"/>
      <c r="BO64" s="153"/>
      <c r="BT64" s="224">
        <v>610</v>
      </c>
      <c r="BU64" s="229"/>
      <c r="BV64" s="230"/>
      <c r="BW64" s="226"/>
      <c r="BX64" s="192"/>
      <c r="BZ64" s="151"/>
      <c r="CB64" s="153"/>
      <c r="CC64" s="153"/>
    </row>
    <row r="65" spans="1:84" ht="13.5" thickBot="1" x14ac:dyDescent="0.25">
      <c r="E65" s="213">
        <f>SUM(E55:E64)</f>
        <v>-18100</v>
      </c>
      <c r="F65" s="148">
        <v>-15000</v>
      </c>
      <c r="G65" s="148">
        <f>SUM(G55:G64)</f>
        <v>-16556</v>
      </c>
      <c r="L65" s="213">
        <f>SUM(L55:L64)</f>
        <v>-17000</v>
      </c>
      <c r="P65" s="148"/>
      <c r="Q65" s="148"/>
      <c r="R65" s="214">
        <f>SUM(R55:R64)</f>
        <v>-17000</v>
      </c>
      <c r="U65" s="200" t="s">
        <v>276</v>
      </c>
      <c r="V65" s="148"/>
      <c r="W65" s="148"/>
      <c r="X65" s="213">
        <f>SUM(X55:X64)</f>
        <v>-36640</v>
      </c>
      <c r="AA65" s="224">
        <v>611</v>
      </c>
      <c r="AB65" s="229"/>
      <c r="AC65" s="230"/>
      <c r="AD65" s="226"/>
      <c r="AE65" s="192"/>
      <c r="AH65" s="224">
        <v>611</v>
      </c>
      <c r="AI65" s="229"/>
      <c r="AJ65" s="230"/>
      <c r="AK65" s="226"/>
      <c r="AL65" s="192"/>
      <c r="AN65" s="151"/>
      <c r="AP65" s="153"/>
      <c r="AQ65" s="153"/>
      <c r="AT65" s="224">
        <v>611</v>
      </c>
      <c r="AU65" s="229"/>
      <c r="AV65" s="230"/>
      <c r="AW65" s="226"/>
      <c r="AX65" s="192"/>
      <c r="AZ65" s="151"/>
      <c r="BB65" s="153"/>
      <c r="BC65" s="153"/>
      <c r="BF65" s="224">
        <v>611</v>
      </c>
      <c r="BG65" s="229"/>
      <c r="BH65" s="230"/>
      <c r="BI65" s="226"/>
      <c r="BJ65" s="192"/>
      <c r="BL65" s="151"/>
      <c r="BN65" s="153"/>
      <c r="BO65" s="153"/>
      <c r="BT65" s="224">
        <v>611</v>
      </c>
      <c r="BU65" s="229"/>
      <c r="BV65" s="230"/>
      <c r="BW65" s="226"/>
      <c r="BX65" s="192"/>
      <c r="BZ65" s="151"/>
      <c r="CB65" s="153"/>
      <c r="CC65" s="153"/>
    </row>
    <row r="66" spans="1:84" ht="15" customHeight="1" thickBot="1" x14ac:dyDescent="0.25">
      <c r="U66" s="200" t="s">
        <v>277</v>
      </c>
      <c r="V66" s="148"/>
      <c r="W66" s="148"/>
      <c r="AA66" s="189"/>
      <c r="AB66" s="193"/>
      <c r="AC66" s="231"/>
      <c r="AD66" s="231"/>
      <c r="AE66" s="212"/>
      <c r="AH66" s="189"/>
      <c r="AI66" s="193"/>
      <c r="AJ66" s="231"/>
      <c r="AK66" s="231"/>
      <c r="AL66" s="212"/>
      <c r="AN66" s="151"/>
      <c r="AP66" s="152" t="s">
        <v>50</v>
      </c>
      <c r="AQ66" s="198">
        <f>(ABS(SUM(AK55:AK66))-AN54)/AQ54</f>
        <v>1429.75</v>
      </c>
      <c r="AT66" s="189"/>
      <c r="AU66" s="193"/>
      <c r="AV66" s="231"/>
      <c r="AW66" s="231"/>
      <c r="AX66" s="212"/>
      <c r="AZ66" s="151"/>
      <c r="BB66" s="152" t="s">
        <v>50</v>
      </c>
      <c r="BC66" s="198">
        <f>(ABS(SUM(AW55:AW66))-AZ54)/BC54</f>
        <v>1527.5</v>
      </c>
      <c r="BF66" s="189"/>
      <c r="BG66" s="193" t="s">
        <v>79</v>
      </c>
      <c r="BH66" s="231"/>
      <c r="BI66" s="231">
        <v>-2000</v>
      </c>
      <c r="BJ66" s="211">
        <f>SUM(BH66:BI66)</f>
        <v>-2000</v>
      </c>
      <c r="BL66" s="151"/>
      <c r="BN66" s="152" t="s">
        <v>50</v>
      </c>
      <c r="BO66" s="198">
        <f>(ABS(SUM(BI55:BI66))-BL54)/BO54</f>
        <v>1752.5</v>
      </c>
      <c r="BP66" s="146">
        <v>1750</v>
      </c>
      <c r="BT66" s="189"/>
      <c r="BU66" s="193" t="s">
        <v>79</v>
      </c>
      <c r="BV66" s="231"/>
      <c r="BW66" s="231">
        <v>-2000</v>
      </c>
      <c r="BX66" s="211">
        <f>SUM(BV66:BW66)</f>
        <v>-2000</v>
      </c>
      <c r="BZ66" s="151"/>
      <c r="CB66" s="152" t="s">
        <v>50</v>
      </c>
      <c r="CC66" s="198">
        <f>(ABS(SUM(BW55:BW66))-BZ54)/CC54</f>
        <v>2102.5</v>
      </c>
      <c r="CD66" s="146">
        <v>2100</v>
      </c>
      <c r="CF66" s="146">
        <f>BX67+BZ54</f>
        <v>-80</v>
      </c>
    </row>
    <row r="67" spans="1:84" ht="15" customHeight="1" thickBot="1" x14ac:dyDescent="0.25">
      <c r="U67" s="200"/>
      <c r="V67" s="148"/>
      <c r="W67" s="148"/>
      <c r="AB67" s="200" t="s">
        <v>80</v>
      </c>
      <c r="AC67" s="148"/>
      <c r="AD67" s="148"/>
      <c r="AE67" s="213">
        <f>SUM(AE55:AE66)</f>
        <v>-13080</v>
      </c>
      <c r="AI67" s="200" t="s">
        <v>80</v>
      </c>
      <c r="AJ67" s="148"/>
      <c r="AK67" s="148"/>
      <c r="AL67" s="213">
        <f>SUM(AL55:AL66)</f>
        <v>-18000</v>
      </c>
      <c r="AN67" s="151"/>
      <c r="AP67" s="152" t="s">
        <v>69</v>
      </c>
      <c r="AQ67" s="153"/>
      <c r="AU67" s="200" t="s">
        <v>80</v>
      </c>
      <c r="AV67" s="148"/>
      <c r="AW67" s="148"/>
      <c r="AX67" s="213">
        <f>SUM(AX55:AX66)</f>
        <v>-15000</v>
      </c>
      <c r="AZ67" s="151"/>
      <c r="BB67" s="152" t="s">
        <v>69</v>
      </c>
      <c r="BC67" s="153"/>
      <c r="BG67" s="200" t="s">
        <v>80</v>
      </c>
      <c r="BH67" s="148">
        <f>SUM(BH55:BH66)</f>
        <v>56000</v>
      </c>
      <c r="BI67" s="148">
        <f>SUM(BI55:BI66)</f>
        <v>-75080</v>
      </c>
      <c r="BJ67" s="213">
        <f>SUM(BJ55:BJ66)</f>
        <v>-19080</v>
      </c>
      <c r="BL67" s="151"/>
      <c r="BN67" s="152" t="s">
        <v>69</v>
      </c>
      <c r="BO67" s="153"/>
      <c r="BU67" s="200" t="s">
        <v>80</v>
      </c>
      <c r="BV67" s="148">
        <f>SUM(BV55:BV66)</f>
        <v>67200</v>
      </c>
      <c r="BW67" s="148">
        <f>SUM(BW55:BW66)</f>
        <v>-107280</v>
      </c>
      <c r="BX67" s="213">
        <f>SUM(BX55:BX66)</f>
        <v>-40080</v>
      </c>
      <c r="BZ67" s="151"/>
      <c r="CB67" s="152" t="s">
        <v>69</v>
      </c>
      <c r="CC67" s="153"/>
    </row>
    <row r="68" spans="1:84" ht="15" customHeight="1" x14ac:dyDescent="0.2">
      <c r="U68" s="200"/>
      <c r="V68" s="148"/>
      <c r="W68" s="148"/>
      <c r="AB68" s="200"/>
      <c r="AC68" s="148"/>
      <c r="AD68" s="148"/>
      <c r="AI68" s="200"/>
      <c r="AJ68" s="148"/>
      <c r="AK68" s="148"/>
      <c r="AN68" s="151"/>
      <c r="AP68" s="153"/>
      <c r="AQ68" s="153"/>
      <c r="AU68" s="200"/>
      <c r="AV68" s="148"/>
      <c r="AW68" s="148"/>
      <c r="AZ68" s="151"/>
      <c r="BB68" s="153"/>
      <c r="BC68" s="153"/>
      <c r="BG68" s="200"/>
      <c r="BH68" s="148"/>
      <c r="BI68" s="148"/>
      <c r="BL68" s="151"/>
      <c r="BN68" s="153"/>
      <c r="BO68" s="153"/>
      <c r="BU68" s="200"/>
      <c r="BV68" s="148"/>
      <c r="BW68" s="148"/>
      <c r="BZ68" s="151"/>
      <c r="CB68" s="153"/>
      <c r="CC68" s="153"/>
    </row>
    <row r="69" spans="1:84" ht="20.25" x14ac:dyDescent="0.3">
      <c r="B69" s="155" t="s">
        <v>278</v>
      </c>
      <c r="I69" s="155" t="s">
        <v>278</v>
      </c>
      <c r="O69" s="155" t="s">
        <v>278</v>
      </c>
      <c r="P69" s="148"/>
      <c r="Q69" s="148"/>
      <c r="U69" s="155" t="s">
        <v>279</v>
      </c>
      <c r="V69" s="148"/>
      <c r="W69" s="148"/>
      <c r="AC69" s="148"/>
      <c r="AD69" s="148"/>
      <c r="AJ69" s="148"/>
      <c r="AK69" s="148"/>
      <c r="AN69" s="151"/>
      <c r="AP69" s="153"/>
      <c r="AQ69" s="153"/>
      <c r="AV69" s="148"/>
      <c r="AW69" s="148"/>
      <c r="AZ69" s="151"/>
      <c r="BB69" s="153"/>
      <c r="BC69" s="153"/>
      <c r="BH69" s="148"/>
      <c r="BI69" s="148"/>
      <c r="BL69" s="151"/>
      <c r="BN69" s="153"/>
      <c r="BO69" s="153"/>
      <c r="BV69" s="148"/>
      <c r="BW69" s="148"/>
      <c r="BZ69" s="151"/>
      <c r="CB69" s="153"/>
      <c r="CC69" s="153"/>
    </row>
    <row r="70" spans="1:84" ht="13.5" thickBot="1" x14ac:dyDescent="0.25">
      <c r="P70" s="148"/>
      <c r="Q70" s="148"/>
      <c r="V70" s="148"/>
      <c r="W70" s="148"/>
      <c r="AB70" s="200"/>
      <c r="AC70" s="148"/>
      <c r="AD70" s="148"/>
      <c r="AI70" s="200"/>
      <c r="AJ70" s="148"/>
      <c r="AK70" s="148"/>
      <c r="AN70" s="151"/>
      <c r="AP70" s="153"/>
      <c r="AQ70" s="153"/>
      <c r="AU70" s="200"/>
      <c r="AV70" s="148"/>
      <c r="AW70" s="148"/>
      <c r="AZ70" s="151"/>
      <c r="BB70" s="153"/>
      <c r="BC70" s="153"/>
      <c r="BG70" s="200"/>
      <c r="BH70" s="148"/>
      <c r="BI70" s="148"/>
      <c r="BL70" s="151"/>
      <c r="BN70" s="153"/>
      <c r="BO70" s="153"/>
      <c r="BU70" s="200"/>
      <c r="BV70" s="148"/>
      <c r="BW70" s="148"/>
      <c r="BZ70" s="151"/>
      <c r="CB70" s="153"/>
      <c r="CC70" s="153"/>
    </row>
    <row r="71" spans="1:84" ht="21" thickBot="1" x14ac:dyDescent="0.35">
      <c r="A71" s="156" t="s">
        <v>36</v>
      </c>
      <c r="B71" s="157" t="s">
        <v>37</v>
      </c>
      <c r="C71" s="158" t="s">
        <v>38</v>
      </c>
      <c r="D71" s="158" t="s">
        <v>39</v>
      </c>
      <c r="E71" s="159" t="s">
        <v>40</v>
      </c>
      <c r="H71" s="156" t="s">
        <v>36</v>
      </c>
      <c r="I71" s="157" t="s">
        <v>37</v>
      </c>
      <c r="J71" s="158" t="s">
        <v>38</v>
      </c>
      <c r="K71" s="158" t="s">
        <v>39</v>
      </c>
      <c r="L71" s="159" t="s">
        <v>40</v>
      </c>
      <c r="N71" s="156" t="s">
        <v>36</v>
      </c>
      <c r="O71" s="157" t="s">
        <v>37</v>
      </c>
      <c r="P71" s="158" t="s">
        <v>38</v>
      </c>
      <c r="Q71" s="158" t="s">
        <v>39</v>
      </c>
      <c r="R71" s="160" t="s">
        <v>40</v>
      </c>
      <c r="T71" s="156" t="s">
        <v>36</v>
      </c>
      <c r="U71" s="157" t="s">
        <v>37</v>
      </c>
      <c r="V71" s="158" t="s">
        <v>38</v>
      </c>
      <c r="W71" s="158" t="s">
        <v>39</v>
      </c>
      <c r="X71" s="159" t="s">
        <v>40</v>
      </c>
      <c r="AB71" s="155" t="s">
        <v>280</v>
      </c>
      <c r="AC71" s="148"/>
      <c r="AD71" s="148"/>
      <c r="AI71" s="155" t="s">
        <v>281</v>
      </c>
      <c r="AJ71" s="148"/>
      <c r="AK71" s="148"/>
      <c r="AN71" s="151"/>
      <c r="AP71" s="153"/>
      <c r="AQ71" s="153"/>
      <c r="AU71" s="155" t="s">
        <v>282</v>
      </c>
      <c r="AV71" s="148"/>
      <c r="AW71" s="148"/>
      <c r="AZ71" s="151"/>
      <c r="BB71" s="153"/>
      <c r="BC71" s="153"/>
      <c r="BG71" s="155" t="s">
        <v>283</v>
      </c>
      <c r="BH71" s="148"/>
      <c r="BI71" s="148"/>
      <c r="BL71" s="151"/>
      <c r="BN71" s="153"/>
      <c r="BO71" s="153"/>
      <c r="BU71" s="155" t="s">
        <v>284</v>
      </c>
      <c r="BV71" s="148"/>
      <c r="BW71" s="148"/>
      <c r="BZ71" s="151"/>
      <c r="CB71" s="153"/>
      <c r="CC71" s="153"/>
    </row>
    <row r="72" spans="1:84" ht="15.75" thickBot="1" x14ac:dyDescent="0.3">
      <c r="A72" s="162"/>
      <c r="B72" s="163" t="s">
        <v>285</v>
      </c>
      <c r="C72" s="216"/>
      <c r="D72" s="216">
        <v>-4000</v>
      </c>
      <c r="E72" s="166">
        <f>SUM(C72:D72)</f>
        <v>-4000</v>
      </c>
      <c r="G72" s="234"/>
      <c r="H72" s="162"/>
      <c r="I72" s="163" t="s">
        <v>285</v>
      </c>
      <c r="J72" s="216"/>
      <c r="K72" s="216">
        <v>-4000</v>
      </c>
      <c r="L72" s="166">
        <f>SUM(J72:K72)</f>
        <v>-4000</v>
      </c>
      <c r="N72" s="162">
        <v>701</v>
      </c>
      <c r="O72" s="163" t="s">
        <v>286</v>
      </c>
      <c r="P72" s="216"/>
      <c r="Q72" s="235">
        <v>-1700</v>
      </c>
      <c r="R72" s="169">
        <f>SUM(P72:Q72)</f>
        <v>-1700</v>
      </c>
      <c r="T72" s="162">
        <v>701</v>
      </c>
      <c r="U72" s="163" t="s">
        <v>287</v>
      </c>
      <c r="V72" s="216"/>
      <c r="W72" s="216">
        <f>-1200*2</f>
        <v>-2400</v>
      </c>
      <c r="X72" s="208">
        <f>SUM(V72:W72)</f>
        <v>-2400</v>
      </c>
      <c r="AC72" s="148"/>
      <c r="AD72" s="148"/>
      <c r="AJ72" s="148"/>
      <c r="AK72" s="148"/>
      <c r="AN72" s="151"/>
      <c r="AP72" s="153"/>
      <c r="AQ72" s="153"/>
      <c r="AV72" s="148"/>
      <c r="AW72" s="148"/>
      <c r="AZ72" s="151"/>
      <c r="BB72" s="153"/>
      <c r="BC72" s="153"/>
      <c r="BH72" s="148"/>
      <c r="BI72" s="148"/>
      <c r="BL72" s="151"/>
      <c r="BN72" s="153"/>
      <c r="BO72" s="153"/>
      <c r="BV72" s="148"/>
      <c r="BW72" s="148"/>
      <c r="BZ72" s="151"/>
      <c r="CB72" s="153"/>
      <c r="CC72" s="153"/>
    </row>
    <row r="73" spans="1:84" ht="18.75" thickBot="1" x14ac:dyDescent="0.3">
      <c r="A73" s="224"/>
      <c r="B73" s="225"/>
      <c r="C73" s="226"/>
      <c r="D73" s="226"/>
      <c r="E73" s="227"/>
      <c r="H73" s="224"/>
      <c r="I73" s="225"/>
      <c r="J73" s="226"/>
      <c r="K73" s="226"/>
      <c r="L73" s="227"/>
      <c r="N73" s="224"/>
      <c r="O73" s="225"/>
      <c r="P73" s="226"/>
      <c r="Q73" s="226"/>
      <c r="R73" s="228"/>
      <c r="T73" s="224"/>
      <c r="U73" s="225"/>
      <c r="V73" s="226"/>
      <c r="W73" s="226"/>
      <c r="X73" s="192"/>
      <c r="AA73" s="156" t="s">
        <v>36</v>
      </c>
      <c r="AB73" s="157" t="s">
        <v>37</v>
      </c>
      <c r="AC73" s="158" t="s">
        <v>38</v>
      </c>
      <c r="AD73" s="158" t="s">
        <v>39</v>
      </c>
      <c r="AE73" s="159" t="s">
        <v>40</v>
      </c>
      <c r="AH73" s="156" t="s">
        <v>36</v>
      </c>
      <c r="AI73" s="157" t="s">
        <v>37</v>
      </c>
      <c r="AJ73" s="158" t="s">
        <v>38</v>
      </c>
      <c r="AK73" s="158" t="s">
        <v>39</v>
      </c>
      <c r="AL73" s="159" t="s">
        <v>40</v>
      </c>
      <c r="AN73" s="151"/>
      <c r="AP73" s="153"/>
      <c r="AQ73" s="153"/>
      <c r="AT73" s="156" t="s">
        <v>36</v>
      </c>
      <c r="AU73" s="157" t="s">
        <v>37</v>
      </c>
      <c r="AV73" s="158" t="s">
        <v>38</v>
      </c>
      <c r="AW73" s="158" t="s">
        <v>39</v>
      </c>
      <c r="AX73" s="159" t="s">
        <v>40</v>
      </c>
      <c r="AZ73" s="151"/>
      <c r="BB73" s="153"/>
      <c r="BC73" s="153"/>
      <c r="BF73" s="156" t="s">
        <v>36</v>
      </c>
      <c r="BG73" s="157" t="s">
        <v>37</v>
      </c>
      <c r="BH73" s="158" t="s">
        <v>38</v>
      </c>
      <c r="BI73" s="158" t="s">
        <v>39</v>
      </c>
      <c r="BJ73" s="159" t="s">
        <v>40</v>
      </c>
      <c r="BL73" s="151"/>
      <c r="BM73" s="146">
        <v>4800</v>
      </c>
      <c r="BN73" s="153"/>
      <c r="BO73" s="153">
        <v>53</v>
      </c>
      <c r="BT73" s="156" t="s">
        <v>36</v>
      </c>
      <c r="BU73" s="157" t="s">
        <v>37</v>
      </c>
      <c r="BV73" s="158" t="s">
        <v>38</v>
      </c>
      <c r="BW73" s="158" t="s">
        <v>39</v>
      </c>
      <c r="BX73" s="159" t="s">
        <v>40</v>
      </c>
      <c r="BZ73" s="151">
        <v>0</v>
      </c>
      <c r="CA73" s="146">
        <v>4800</v>
      </c>
      <c r="CB73" s="153"/>
      <c r="CC73" s="153">
        <v>53</v>
      </c>
    </row>
    <row r="74" spans="1:84" ht="13.5" thickBot="1" x14ac:dyDescent="0.25">
      <c r="A74" s="189"/>
      <c r="B74" s="193" t="s">
        <v>288</v>
      </c>
      <c r="C74" s="231"/>
      <c r="D74" s="231"/>
      <c r="E74" s="195">
        <f>SUM(C74:D74)</f>
        <v>0</v>
      </c>
      <c r="H74" s="189"/>
      <c r="I74" s="193" t="s">
        <v>288</v>
      </c>
      <c r="J74" s="231"/>
      <c r="K74" s="231"/>
      <c r="L74" s="195">
        <f>SUM(J74:K74)</f>
        <v>0</v>
      </c>
      <c r="N74" s="189"/>
      <c r="O74" s="193" t="s">
        <v>288</v>
      </c>
      <c r="P74" s="231"/>
      <c r="Q74" s="231"/>
      <c r="R74" s="196">
        <f>SUM(P74:Q74)</f>
        <v>0</v>
      </c>
      <c r="T74" s="189"/>
      <c r="U74" s="193" t="s">
        <v>288</v>
      </c>
      <c r="V74" s="231"/>
      <c r="W74" s="231"/>
      <c r="X74" s="212">
        <f>SUM(V74:W74)</f>
        <v>0</v>
      </c>
      <c r="AA74" s="162">
        <v>701</v>
      </c>
      <c r="AB74" s="163" t="s">
        <v>289</v>
      </c>
      <c r="AC74" s="216"/>
      <c r="AD74" s="216">
        <f>-1200*4</f>
        <v>-4800</v>
      </c>
      <c r="AE74" s="208">
        <f>SUM(AC74:AD74)</f>
        <v>-4800</v>
      </c>
      <c r="AH74" s="162">
        <v>701</v>
      </c>
      <c r="AI74" s="163" t="s">
        <v>289</v>
      </c>
      <c r="AJ74" s="216"/>
      <c r="AK74" s="216">
        <f>-1200*4</f>
        <v>-4800</v>
      </c>
      <c r="AL74" s="208">
        <f>SUM(AJ74:AK74)</f>
        <v>-4800</v>
      </c>
      <c r="AN74" s="151"/>
      <c r="AP74" s="153"/>
      <c r="AQ74" s="153"/>
      <c r="AT74" s="162">
        <v>701</v>
      </c>
      <c r="AU74" s="163" t="s">
        <v>289</v>
      </c>
      <c r="AV74" s="216"/>
      <c r="AW74" s="216">
        <f>-1200*4</f>
        <v>-4800</v>
      </c>
      <c r="AX74" s="208">
        <f>SUM(AV74:AW74)</f>
        <v>-4800</v>
      </c>
      <c r="AZ74" s="151"/>
      <c r="BB74" s="153"/>
      <c r="BC74" s="153"/>
      <c r="BF74" s="162">
        <v>701</v>
      </c>
      <c r="BG74" s="163" t="s">
        <v>82</v>
      </c>
      <c r="BH74" s="216"/>
      <c r="BI74" s="216">
        <v>0</v>
      </c>
      <c r="BJ74" s="208">
        <f>SUM(BH74:BI74)</f>
        <v>0</v>
      </c>
      <c r="BL74" s="151"/>
      <c r="BN74" s="153"/>
      <c r="BO74" s="153"/>
      <c r="BT74" s="162">
        <v>701</v>
      </c>
      <c r="BU74" s="163" t="s">
        <v>82</v>
      </c>
      <c r="BV74" s="216"/>
      <c r="BW74" s="216">
        <v>0</v>
      </c>
      <c r="BX74" s="208">
        <f>SUM(BV74:BW74)</f>
        <v>0</v>
      </c>
      <c r="BZ74" s="151"/>
      <c r="CB74" s="153"/>
      <c r="CC74" s="153"/>
    </row>
    <row r="75" spans="1:84" ht="13.5" thickBot="1" x14ac:dyDescent="0.25">
      <c r="A75" s="236"/>
      <c r="B75" s="154"/>
      <c r="C75" s="237"/>
      <c r="D75" s="237"/>
      <c r="E75" s="238"/>
      <c r="H75" s="236"/>
      <c r="I75" s="154"/>
      <c r="J75" s="237"/>
      <c r="K75" s="237"/>
      <c r="L75" s="238"/>
      <c r="N75" s="236"/>
      <c r="O75" s="154"/>
      <c r="P75" s="237"/>
      <c r="Q75" s="237"/>
      <c r="R75" s="239"/>
      <c r="T75" s="236"/>
      <c r="U75" s="154"/>
      <c r="V75" s="237"/>
      <c r="W75" s="237"/>
      <c r="X75" s="240"/>
      <c r="AA75" s="241"/>
      <c r="AB75" s="242"/>
      <c r="AC75" s="243"/>
      <c r="AD75" s="243"/>
      <c r="AE75" s="244"/>
      <c r="AH75" s="241"/>
      <c r="AI75" s="242"/>
      <c r="AJ75" s="243"/>
      <c r="AK75" s="243"/>
      <c r="AL75" s="244"/>
      <c r="AN75" s="151"/>
      <c r="AP75" s="153"/>
      <c r="AQ75" s="153"/>
      <c r="AT75" s="241"/>
      <c r="AU75" s="242"/>
      <c r="AV75" s="243"/>
      <c r="AW75" s="243"/>
      <c r="AX75" s="244"/>
      <c r="AZ75" s="151"/>
      <c r="BB75" s="153"/>
      <c r="BC75" s="153"/>
      <c r="BF75" s="241"/>
      <c r="BG75" s="242" t="s">
        <v>83</v>
      </c>
      <c r="BH75" s="243"/>
      <c r="BI75" s="243">
        <v>-28100</v>
      </c>
      <c r="BJ75" s="208">
        <f>SUM(BH75:BI75)</f>
        <v>-28100</v>
      </c>
      <c r="BL75" s="151"/>
      <c r="BN75" s="153"/>
      <c r="BO75" s="153"/>
      <c r="BT75" s="241"/>
      <c r="BU75" s="242" t="s">
        <v>83</v>
      </c>
      <c r="BV75" s="243"/>
      <c r="BW75" s="243">
        <v>-28100</v>
      </c>
      <c r="BX75" s="208">
        <f>SUM(BV75:BW75)</f>
        <v>-28100</v>
      </c>
      <c r="BZ75" s="151"/>
      <c r="CB75" s="153"/>
      <c r="CC75" s="153"/>
    </row>
    <row r="76" spans="1:84" ht="13.5" thickBot="1" x14ac:dyDescent="0.25">
      <c r="E76" s="213">
        <f>SUM(E72:E74)</f>
        <v>-4000</v>
      </c>
      <c r="F76" s="148">
        <v>-4000</v>
      </c>
      <c r="L76" s="213">
        <f>SUM(L72:L74)</f>
        <v>-4000</v>
      </c>
      <c r="O76" s="146" t="s">
        <v>290</v>
      </c>
      <c r="P76" s="148"/>
      <c r="Q76" s="148"/>
      <c r="R76" s="214">
        <f>SUM(R72:R74)</f>
        <v>-1700</v>
      </c>
      <c r="V76" s="148"/>
      <c r="W76" s="148"/>
      <c r="X76" s="213">
        <f>SUM(X72:X74)</f>
        <v>-2400</v>
      </c>
      <c r="AA76" s="224"/>
      <c r="AB76" s="225"/>
      <c r="AC76" s="226"/>
      <c r="AD76" s="226"/>
      <c r="AE76" s="192"/>
      <c r="AH76" s="224"/>
      <c r="AI76" s="225"/>
      <c r="AJ76" s="226"/>
      <c r="AK76" s="226"/>
      <c r="AL76" s="192"/>
      <c r="AN76" s="151"/>
      <c r="AP76" s="153"/>
      <c r="AQ76" s="153"/>
      <c r="AT76" s="224"/>
      <c r="AU76" s="225"/>
      <c r="AV76" s="226"/>
      <c r="AW76" s="226"/>
      <c r="AX76" s="192"/>
      <c r="AZ76" s="151"/>
      <c r="BB76" s="153"/>
      <c r="BC76" s="153"/>
      <c r="BF76" s="224"/>
      <c r="BG76" s="229" t="s">
        <v>84</v>
      </c>
      <c r="BH76" s="226"/>
      <c r="BI76" s="226">
        <v>-51700</v>
      </c>
      <c r="BJ76" s="208">
        <f>SUM(BH76:BI76)</f>
        <v>-51700</v>
      </c>
      <c r="BL76" s="151"/>
      <c r="BN76" s="153"/>
      <c r="BO76" s="153"/>
      <c r="BT76" s="224"/>
      <c r="BU76" s="229" t="s">
        <v>84</v>
      </c>
      <c r="BV76" s="226"/>
      <c r="BW76" s="226">
        <v>-51700</v>
      </c>
      <c r="BX76" s="208">
        <f>SUM(BV76:BW76)</f>
        <v>-51700</v>
      </c>
      <c r="BZ76" s="151"/>
      <c r="CB76" s="153"/>
      <c r="CC76" s="153"/>
    </row>
    <row r="77" spans="1:84" ht="13.5" thickBot="1" x14ac:dyDescent="0.25">
      <c r="E77" s="154"/>
      <c r="L77" s="154"/>
      <c r="P77" s="148"/>
      <c r="Q77" s="148"/>
      <c r="R77" s="215"/>
      <c r="V77" s="148"/>
      <c r="W77" s="148"/>
      <c r="X77" s="154"/>
      <c r="AA77" s="189"/>
      <c r="AB77" s="193" t="s">
        <v>288</v>
      </c>
      <c r="AC77" s="231">
        <v>4800</v>
      </c>
      <c r="AD77" s="231"/>
      <c r="AE77" s="212">
        <f>SUM(AC77:AD77)</f>
        <v>4800</v>
      </c>
      <c r="AH77" s="189"/>
      <c r="AI77" s="193" t="s">
        <v>288</v>
      </c>
      <c r="AJ77" s="231">
        <v>4800</v>
      </c>
      <c r="AK77" s="231"/>
      <c r="AL77" s="212">
        <f>SUM(AJ77:AK77)</f>
        <v>4800</v>
      </c>
      <c r="AN77" s="151"/>
      <c r="AP77" s="153"/>
      <c r="AQ77" s="153"/>
      <c r="AT77" s="189"/>
      <c r="AU77" s="193" t="s">
        <v>288</v>
      </c>
      <c r="AV77" s="231">
        <v>4800</v>
      </c>
      <c r="AW77" s="231"/>
      <c r="AX77" s="212">
        <f>SUM(AV77:AW77)</f>
        <v>4800</v>
      </c>
      <c r="AZ77" s="151"/>
      <c r="BB77" s="153"/>
      <c r="BC77" s="153"/>
      <c r="BF77" s="189"/>
      <c r="BG77" s="199" t="s">
        <v>85</v>
      </c>
      <c r="BH77" s="231">
        <f>-SUM(BI74:BI77)</f>
        <v>79800</v>
      </c>
      <c r="BI77" s="231"/>
      <c r="BJ77" s="208">
        <f>SUM(BH77:BI77)</f>
        <v>79800</v>
      </c>
      <c r="BL77" s="151"/>
      <c r="BN77" s="153"/>
      <c r="BO77" s="153"/>
      <c r="BT77" s="189"/>
      <c r="BU77" s="199" t="s">
        <v>85</v>
      </c>
      <c r="BV77" s="231">
        <f>-SUM(BW74:BW77)</f>
        <v>79800</v>
      </c>
      <c r="BW77" s="231"/>
      <c r="BX77" s="208">
        <f>SUM(BV77:BW77)</f>
        <v>79800</v>
      </c>
      <c r="BZ77" s="151"/>
      <c r="CB77" s="153"/>
      <c r="CC77" s="153"/>
    </row>
    <row r="78" spans="1:84" ht="13.5" thickBot="1" x14ac:dyDescent="0.25">
      <c r="V78" s="148"/>
      <c r="W78" s="148"/>
      <c r="AC78" s="148"/>
      <c r="AD78" s="148"/>
      <c r="AE78" s="213">
        <f>SUM(AE74:AE77)</f>
        <v>0</v>
      </c>
      <c r="AJ78" s="148"/>
      <c r="AK78" s="148"/>
      <c r="AL78" s="213">
        <f>SUM(AL74:AL77)</f>
        <v>0</v>
      </c>
      <c r="AN78" s="151"/>
      <c r="AP78" s="153"/>
      <c r="AQ78" s="153"/>
      <c r="AV78" s="148"/>
      <c r="AW78" s="148"/>
      <c r="AX78" s="213">
        <f>SUM(AX74:AX77)</f>
        <v>0</v>
      </c>
      <c r="AZ78" s="151"/>
      <c r="BB78" s="153"/>
      <c r="BC78" s="153"/>
      <c r="BH78" s="148">
        <f>SUM(BH74:BH77)</f>
        <v>79800</v>
      </c>
      <c r="BI78" s="148"/>
      <c r="BJ78" s="213">
        <f>SUM(BJ74:BJ77)</f>
        <v>0</v>
      </c>
      <c r="BL78" s="151"/>
      <c r="BN78" s="153"/>
      <c r="BO78" s="153"/>
      <c r="BV78" s="148">
        <f>SUM(BV74:BV77)</f>
        <v>79800</v>
      </c>
      <c r="BW78" s="148"/>
      <c r="BX78" s="213">
        <f>SUM(BX74:BX77)</f>
        <v>0</v>
      </c>
      <c r="BZ78" s="151"/>
      <c r="CB78" s="153"/>
      <c r="CC78" s="153"/>
    </row>
    <row r="79" spans="1:84" ht="20.25" x14ac:dyDescent="0.3">
      <c r="B79" s="155" t="s">
        <v>86</v>
      </c>
      <c r="I79" s="155" t="s">
        <v>86</v>
      </c>
      <c r="O79" s="155" t="s">
        <v>86</v>
      </c>
      <c r="P79" s="148"/>
      <c r="Q79" s="148"/>
      <c r="U79" s="155" t="s">
        <v>86</v>
      </c>
      <c r="V79" s="148"/>
      <c r="W79" s="148"/>
      <c r="AC79" s="148"/>
      <c r="AD79" s="148"/>
      <c r="AE79" s="154"/>
      <c r="AJ79" s="148"/>
      <c r="AK79" s="148"/>
      <c r="AL79" s="154"/>
      <c r="AN79" s="151"/>
      <c r="AP79" s="153"/>
      <c r="AQ79" s="153"/>
      <c r="AV79" s="148"/>
      <c r="AW79" s="148"/>
      <c r="AX79" s="154"/>
      <c r="AZ79" s="151"/>
      <c r="BB79" s="153"/>
      <c r="BC79" s="153"/>
      <c r="BH79" s="148"/>
      <c r="BI79" s="148"/>
      <c r="BJ79" s="154"/>
      <c r="BL79" s="151"/>
      <c r="BN79" s="153"/>
      <c r="BO79" s="153"/>
      <c r="BV79" s="148"/>
      <c r="BW79" s="148"/>
      <c r="BX79" s="154"/>
      <c r="BZ79" s="151"/>
      <c r="CB79" s="153"/>
      <c r="CC79" s="153"/>
    </row>
    <row r="80" spans="1:84" ht="13.5" thickBot="1" x14ac:dyDescent="0.25">
      <c r="P80" s="148"/>
      <c r="Q80" s="148"/>
      <c r="V80" s="148"/>
      <c r="W80" s="148"/>
      <c r="AC80" s="148"/>
      <c r="AD80" s="148"/>
      <c r="AJ80" s="148"/>
      <c r="AK80" s="148"/>
      <c r="AN80" s="151"/>
      <c r="AP80" s="153"/>
      <c r="AQ80" s="153"/>
      <c r="AV80" s="148"/>
      <c r="AW80" s="148"/>
      <c r="AZ80" s="151"/>
      <c r="BB80" s="153"/>
      <c r="BC80" s="153"/>
      <c r="BH80" s="148"/>
      <c r="BI80" s="148"/>
      <c r="BL80" s="151"/>
      <c r="BN80" s="153"/>
      <c r="BO80" s="153"/>
      <c r="BV80" s="148"/>
      <c r="BW80" s="148"/>
      <c r="BZ80" s="151"/>
      <c r="CB80" s="153"/>
      <c r="CC80" s="153"/>
    </row>
    <row r="81" spans="1:81" ht="21" thickBot="1" x14ac:dyDescent="0.35">
      <c r="A81" s="156" t="s">
        <v>36</v>
      </c>
      <c r="B81" s="157" t="s">
        <v>37</v>
      </c>
      <c r="C81" s="158" t="s">
        <v>38</v>
      </c>
      <c r="D81" s="158" t="s">
        <v>39</v>
      </c>
      <c r="E81" s="159" t="s">
        <v>40</v>
      </c>
      <c r="G81" s="148" t="s">
        <v>291</v>
      </c>
      <c r="H81" s="156" t="s">
        <v>36</v>
      </c>
      <c r="I81" s="157" t="s">
        <v>37</v>
      </c>
      <c r="J81" s="158" t="s">
        <v>38</v>
      </c>
      <c r="K81" s="158" t="s">
        <v>39</v>
      </c>
      <c r="L81" s="159" t="s">
        <v>40</v>
      </c>
      <c r="N81" s="156" t="s">
        <v>36</v>
      </c>
      <c r="O81" s="157" t="s">
        <v>37</v>
      </c>
      <c r="P81" s="158" t="s">
        <v>38</v>
      </c>
      <c r="Q81" s="158" t="s">
        <v>39</v>
      </c>
      <c r="R81" s="160" t="s">
        <v>40</v>
      </c>
      <c r="T81" s="156" t="s">
        <v>36</v>
      </c>
      <c r="U81" s="157" t="s">
        <v>37</v>
      </c>
      <c r="V81" s="158" t="s">
        <v>38</v>
      </c>
      <c r="W81" s="158" t="s">
        <v>39</v>
      </c>
      <c r="X81" s="159" t="s">
        <v>40</v>
      </c>
      <c r="AB81" s="155" t="s">
        <v>86</v>
      </c>
      <c r="AC81" s="148"/>
      <c r="AD81" s="148"/>
      <c r="AI81" s="155" t="s">
        <v>86</v>
      </c>
      <c r="AJ81" s="148"/>
      <c r="AK81" s="148"/>
      <c r="AN81" s="151"/>
      <c r="AP81" s="153"/>
      <c r="AQ81" s="153"/>
      <c r="AU81" s="155" t="s">
        <v>86</v>
      </c>
      <c r="AV81" s="148"/>
      <c r="AW81" s="148"/>
      <c r="AZ81" s="151"/>
      <c r="BB81" s="153"/>
      <c r="BC81" s="153"/>
      <c r="BG81" s="155" t="s">
        <v>86</v>
      </c>
      <c r="BH81" s="148"/>
      <c r="BI81" s="148"/>
      <c r="BL81" s="151"/>
      <c r="BN81" s="153"/>
      <c r="BO81" s="153"/>
      <c r="BU81" s="155" t="s">
        <v>86</v>
      </c>
      <c r="BV81" s="148"/>
      <c r="BW81" s="148"/>
      <c r="BZ81" s="151"/>
      <c r="CB81" s="153"/>
      <c r="CC81" s="153"/>
    </row>
    <row r="82" spans="1:81" ht="13.5" thickBot="1" x14ac:dyDescent="0.25">
      <c r="A82" s="162"/>
      <c r="B82" s="163" t="s">
        <v>292</v>
      </c>
      <c r="C82" s="216"/>
      <c r="D82" s="216">
        <v>-20000</v>
      </c>
      <c r="E82" s="166">
        <f>SUM(C82:D82)</f>
        <v>-20000</v>
      </c>
      <c r="G82" s="148">
        <v>-33531</v>
      </c>
      <c r="H82" s="162"/>
      <c r="I82" s="163" t="s">
        <v>292</v>
      </c>
      <c r="J82" s="216"/>
      <c r="K82" s="216">
        <v>-20000</v>
      </c>
      <c r="L82" s="166">
        <f>SUM(J82:K82)</f>
        <v>-20000</v>
      </c>
      <c r="N82" s="162">
        <v>801</v>
      </c>
      <c r="O82" s="163" t="s">
        <v>292</v>
      </c>
      <c r="P82" s="216"/>
      <c r="Q82" s="216">
        <v>-18500</v>
      </c>
      <c r="R82" s="169">
        <f>SUM(P82:Q82)</f>
        <v>-18500</v>
      </c>
      <c r="T82" s="162">
        <v>801</v>
      </c>
      <c r="U82" s="163" t="s">
        <v>293</v>
      </c>
      <c r="V82" s="216"/>
      <c r="W82" s="216">
        <v>-3200</v>
      </c>
      <c r="X82" s="208">
        <f>SUM(V82:W82)</f>
        <v>-3200</v>
      </c>
      <c r="AC82" s="148"/>
      <c r="AD82" s="148"/>
      <c r="AJ82" s="148"/>
      <c r="AK82" s="148"/>
      <c r="AN82" s="151"/>
      <c r="AP82" s="153"/>
      <c r="AQ82" s="153"/>
      <c r="AV82" s="148"/>
      <c r="AW82" s="148"/>
      <c r="AZ82" s="151"/>
      <c r="BB82" s="153"/>
      <c r="BC82" s="153"/>
      <c r="BH82" s="148"/>
      <c r="BI82" s="148"/>
      <c r="BL82" s="151"/>
      <c r="BN82" s="153"/>
      <c r="BO82" s="153"/>
      <c r="BV82" s="148"/>
      <c r="BW82" s="148"/>
      <c r="BZ82" s="151"/>
      <c r="CB82" s="153"/>
      <c r="CC82" s="153"/>
    </row>
    <row r="83" spans="1:81" ht="18.75" thickBot="1" x14ac:dyDescent="0.3">
      <c r="A83" s="177"/>
      <c r="B83" s="174" t="s">
        <v>87</v>
      </c>
      <c r="C83" s="191"/>
      <c r="D83" s="191">
        <v>-1200</v>
      </c>
      <c r="E83" s="180">
        <f>SUM(C83:D83)</f>
        <v>-1200</v>
      </c>
      <c r="G83" s="148">
        <v>0</v>
      </c>
      <c r="H83" s="177"/>
      <c r="I83" s="174" t="s">
        <v>87</v>
      </c>
      <c r="J83" s="191"/>
      <c r="K83" s="191">
        <v>0</v>
      </c>
      <c r="L83" s="180">
        <f>SUM(J83:K83)</f>
        <v>0</v>
      </c>
      <c r="N83" s="177">
        <v>803</v>
      </c>
      <c r="O83" s="174" t="s">
        <v>87</v>
      </c>
      <c r="P83" s="191"/>
      <c r="Q83" s="191">
        <v>0</v>
      </c>
      <c r="R83" s="169">
        <f>SUM(P83:Q83)</f>
        <v>0</v>
      </c>
      <c r="T83" s="177">
        <v>802</v>
      </c>
      <c r="U83" s="174" t="s">
        <v>87</v>
      </c>
      <c r="V83" s="191"/>
      <c r="W83" s="191">
        <v>0</v>
      </c>
      <c r="X83" s="211">
        <f>SUM(V83:W83)</f>
        <v>0</v>
      </c>
      <c r="AA83" s="156" t="s">
        <v>36</v>
      </c>
      <c r="AB83" s="157" t="s">
        <v>37</v>
      </c>
      <c r="AC83" s="158" t="s">
        <v>38</v>
      </c>
      <c r="AD83" s="158" t="s">
        <v>39</v>
      </c>
      <c r="AE83" s="159" t="s">
        <v>40</v>
      </c>
      <c r="AH83" s="156" t="s">
        <v>36</v>
      </c>
      <c r="AI83" s="157" t="s">
        <v>37</v>
      </c>
      <c r="AJ83" s="158" t="s">
        <v>38</v>
      </c>
      <c r="AK83" s="158" t="s">
        <v>39</v>
      </c>
      <c r="AL83" s="159" t="s">
        <v>40</v>
      </c>
      <c r="AN83" s="151">
        <v>4000</v>
      </c>
      <c r="AP83" s="153"/>
      <c r="AQ83" s="153"/>
      <c r="AT83" s="156" t="s">
        <v>36</v>
      </c>
      <c r="AU83" s="157" t="s">
        <v>37</v>
      </c>
      <c r="AV83" s="158" t="s">
        <v>38</v>
      </c>
      <c r="AW83" s="158" t="s">
        <v>39</v>
      </c>
      <c r="AX83" s="159" t="s">
        <v>40</v>
      </c>
      <c r="AZ83" s="151">
        <v>1000</v>
      </c>
      <c r="BB83" s="153"/>
      <c r="BC83" s="153"/>
      <c r="BF83" s="156" t="s">
        <v>36</v>
      </c>
      <c r="BG83" s="157" t="s">
        <v>37</v>
      </c>
      <c r="BH83" s="158" t="s">
        <v>38</v>
      </c>
      <c r="BI83" s="158" t="s">
        <v>39</v>
      </c>
      <c r="BJ83" s="159" t="s">
        <v>40</v>
      </c>
      <c r="BL83" s="151">
        <v>2000</v>
      </c>
      <c r="BM83" s="146">
        <v>1000</v>
      </c>
      <c r="BN83" s="153"/>
      <c r="BO83" s="153"/>
      <c r="BT83" s="156" t="s">
        <v>36</v>
      </c>
      <c r="BU83" s="157" t="s">
        <v>37</v>
      </c>
      <c r="BV83" s="158" t="s">
        <v>38</v>
      </c>
      <c r="BW83" s="158" t="s">
        <v>39</v>
      </c>
      <c r="BX83" s="159" t="s">
        <v>40</v>
      </c>
      <c r="BZ83" s="151">
        <v>2000</v>
      </c>
      <c r="CA83" s="146">
        <v>1000</v>
      </c>
      <c r="CB83" s="153"/>
      <c r="CC83" s="153"/>
    </row>
    <row r="84" spans="1:81" x14ac:dyDescent="0.2">
      <c r="A84" s="177"/>
      <c r="B84" s="174" t="s">
        <v>294</v>
      </c>
      <c r="C84" s="191"/>
      <c r="D84" s="191">
        <v>-1800</v>
      </c>
      <c r="E84" s="180">
        <f>SUM(C84:D84)</f>
        <v>-1800</v>
      </c>
      <c r="G84" s="234">
        <v>0</v>
      </c>
      <c r="H84" s="177"/>
      <c r="I84" s="174" t="s">
        <v>294</v>
      </c>
      <c r="J84" s="191"/>
      <c r="K84" s="191">
        <v>-1000</v>
      </c>
      <c r="L84" s="180">
        <f>SUM(J84:K84)</f>
        <v>-1000</v>
      </c>
      <c r="N84" s="177">
        <v>804</v>
      </c>
      <c r="O84" s="174" t="s">
        <v>294</v>
      </c>
      <c r="P84" s="191"/>
      <c r="Q84" s="191">
        <v>-1000</v>
      </c>
      <c r="R84" s="169">
        <f>SUM(P84:Q84)</f>
        <v>-1000</v>
      </c>
      <c r="T84" s="177">
        <v>803</v>
      </c>
      <c r="U84" s="174" t="s">
        <v>294</v>
      </c>
      <c r="V84" s="191"/>
      <c r="W84" s="191">
        <v>-3000</v>
      </c>
      <c r="X84" s="211">
        <f>SUM(V84:W84)</f>
        <v>-3000</v>
      </c>
      <c r="AA84" s="162">
        <v>801</v>
      </c>
      <c r="AB84" s="163" t="s">
        <v>293</v>
      </c>
      <c r="AC84" s="216"/>
      <c r="AD84" s="216">
        <v>-3200</v>
      </c>
      <c r="AE84" s="208">
        <f>SUM(AC84:AD84)</f>
        <v>-3200</v>
      </c>
      <c r="AH84" s="162">
        <v>801</v>
      </c>
      <c r="AI84" s="163" t="s">
        <v>293</v>
      </c>
      <c r="AJ84" s="216"/>
      <c r="AK84" s="216">
        <v>0</v>
      </c>
      <c r="AL84" s="208">
        <f>SUM(AJ84:AK84)</f>
        <v>0</v>
      </c>
      <c r="AN84" s="151"/>
      <c r="AP84" s="153"/>
      <c r="AQ84" s="153"/>
      <c r="AT84" s="162">
        <v>801</v>
      </c>
      <c r="AU84" s="163" t="s">
        <v>293</v>
      </c>
      <c r="AV84" s="216"/>
      <c r="AW84" s="216">
        <v>0</v>
      </c>
      <c r="AX84" s="208">
        <f>SUM(AV84:AW84)</f>
        <v>0</v>
      </c>
      <c r="AZ84" s="151"/>
      <c r="BB84" s="153"/>
      <c r="BC84" s="153"/>
      <c r="BF84" s="162">
        <v>801</v>
      </c>
      <c r="BG84" s="163" t="s">
        <v>293</v>
      </c>
      <c r="BH84" s="216"/>
      <c r="BI84" s="216">
        <v>0</v>
      </c>
      <c r="BJ84" s="208">
        <f>SUM(BH84:BI84)</f>
        <v>0</v>
      </c>
      <c r="BL84" s="151"/>
      <c r="BN84" s="153"/>
      <c r="BO84" s="153"/>
      <c r="BT84" s="162">
        <v>801</v>
      </c>
      <c r="BU84" s="163" t="s">
        <v>293</v>
      </c>
      <c r="BV84" s="216"/>
      <c r="BW84" s="216">
        <v>0</v>
      </c>
      <c r="BX84" s="208">
        <f>SUM(BV84:BW84)</f>
        <v>0</v>
      </c>
      <c r="BZ84" s="151"/>
      <c r="CB84" s="153"/>
      <c r="CC84" s="153"/>
    </row>
    <row r="85" spans="1:81" x14ac:dyDescent="0.2">
      <c r="A85" s="177"/>
      <c r="B85" s="174"/>
      <c r="C85" s="191"/>
      <c r="D85" s="191"/>
      <c r="E85" s="180">
        <f>SUM(C85:D85)</f>
        <v>0</v>
      </c>
      <c r="H85" s="177"/>
      <c r="I85" s="174"/>
      <c r="J85" s="191"/>
      <c r="K85" s="191"/>
      <c r="L85" s="180">
        <f>SUM(J85:K85)</f>
        <v>0</v>
      </c>
      <c r="N85" s="177"/>
      <c r="O85" s="174"/>
      <c r="P85" s="191"/>
      <c r="Q85" s="191"/>
      <c r="R85" s="169">
        <f>SUM(P85:Q85)</f>
        <v>0</v>
      </c>
      <c r="T85" s="177"/>
      <c r="U85" s="174"/>
      <c r="V85" s="191"/>
      <c r="W85" s="191"/>
      <c r="X85" s="211">
        <f>SUM(V85:W85)</f>
        <v>0</v>
      </c>
      <c r="AA85" s="177">
        <v>802</v>
      </c>
      <c r="AB85" s="174" t="s">
        <v>87</v>
      </c>
      <c r="AC85" s="191"/>
      <c r="AD85" s="191">
        <v>0</v>
      </c>
      <c r="AE85" s="211">
        <f>SUM(AC85:AD85)</f>
        <v>0</v>
      </c>
      <c r="AH85" s="177">
        <v>802</v>
      </c>
      <c r="AI85" s="174" t="s">
        <v>87</v>
      </c>
      <c r="AJ85" s="191"/>
      <c r="AK85" s="191">
        <v>0</v>
      </c>
      <c r="AL85" s="211">
        <f>SUM(AJ85:AK85)</f>
        <v>0</v>
      </c>
      <c r="AN85" s="151"/>
      <c r="AP85" s="153"/>
      <c r="AQ85" s="153"/>
      <c r="AT85" s="177">
        <v>802</v>
      </c>
      <c r="AU85" s="174" t="s">
        <v>87</v>
      </c>
      <c r="AV85" s="191"/>
      <c r="AW85" s="191">
        <v>0</v>
      </c>
      <c r="AX85" s="211">
        <f>SUM(AV85:AW85)</f>
        <v>0</v>
      </c>
      <c r="AZ85" s="151"/>
      <c r="BB85" s="153"/>
      <c r="BC85" s="153"/>
      <c r="BF85" s="177">
        <v>802</v>
      </c>
      <c r="BG85" s="174" t="s">
        <v>87</v>
      </c>
      <c r="BH85" s="191"/>
      <c r="BI85" s="191">
        <v>0</v>
      </c>
      <c r="BJ85" s="211">
        <f>SUM(BH85:BI85)</f>
        <v>0</v>
      </c>
      <c r="BL85" s="151"/>
      <c r="BN85" s="153"/>
      <c r="BO85" s="153"/>
      <c r="BT85" s="177">
        <v>802</v>
      </c>
      <c r="BU85" s="174" t="s">
        <v>87</v>
      </c>
      <c r="BV85" s="191"/>
      <c r="BW85" s="191">
        <v>0</v>
      </c>
      <c r="BX85" s="211">
        <f>SUM(BV85:BW85)</f>
        <v>0</v>
      </c>
      <c r="BZ85" s="151"/>
      <c r="CB85" s="153"/>
      <c r="CC85" s="153"/>
    </row>
    <row r="86" spans="1:81" ht="13.5" thickBot="1" x14ac:dyDescent="0.25">
      <c r="A86" s="189"/>
      <c r="B86" s="193" t="s">
        <v>295</v>
      </c>
      <c r="C86" s="231"/>
      <c r="D86" s="231"/>
      <c r="E86" s="195">
        <f>SUM(C86:D86)</f>
        <v>0</v>
      </c>
      <c r="H86" s="189"/>
      <c r="I86" s="193" t="s">
        <v>295</v>
      </c>
      <c r="J86" s="231"/>
      <c r="K86" s="231"/>
      <c r="L86" s="195">
        <f>SUM(J86:K86)</f>
        <v>0</v>
      </c>
      <c r="N86" s="189"/>
      <c r="O86" s="193" t="s">
        <v>295</v>
      </c>
      <c r="P86" s="231"/>
      <c r="Q86" s="231"/>
      <c r="R86" s="169">
        <f>SUM(P86:Q86)</f>
        <v>0</v>
      </c>
      <c r="T86" s="189"/>
      <c r="U86" s="193" t="s">
        <v>295</v>
      </c>
      <c r="V86" s="231"/>
      <c r="W86" s="231"/>
      <c r="X86" s="212">
        <f>SUM(V86:W86)</f>
        <v>0</v>
      </c>
      <c r="AA86" s="177">
        <v>803</v>
      </c>
      <c r="AB86" s="174" t="s">
        <v>294</v>
      </c>
      <c r="AC86" s="191"/>
      <c r="AD86" s="191">
        <v>-3000</v>
      </c>
      <c r="AE86" s="211">
        <f>SUM(AC86:AD86)</f>
        <v>-3000</v>
      </c>
      <c r="AH86" s="177">
        <v>803</v>
      </c>
      <c r="AI86" s="174" t="s">
        <v>88</v>
      </c>
      <c r="AJ86" s="191"/>
      <c r="AK86" s="191">
        <v>0</v>
      </c>
      <c r="AL86" s="211">
        <f>SUM(AJ86:AK86)</f>
        <v>0</v>
      </c>
      <c r="AN86" s="151"/>
      <c r="AP86" s="153"/>
      <c r="AQ86" s="153"/>
      <c r="AT86" s="177">
        <v>803</v>
      </c>
      <c r="AU86" s="174" t="s">
        <v>88</v>
      </c>
      <c r="AV86" s="191"/>
      <c r="AW86" s="191">
        <v>0</v>
      </c>
      <c r="AX86" s="211">
        <f>SUM(AV86:AW86)</f>
        <v>0</v>
      </c>
      <c r="AZ86" s="151"/>
      <c r="BB86" s="153"/>
      <c r="BC86" s="153"/>
      <c r="BF86" s="177">
        <v>803</v>
      </c>
      <c r="BG86" s="174" t="s">
        <v>88</v>
      </c>
      <c r="BH86" s="191"/>
      <c r="BI86" s="191">
        <v>0</v>
      </c>
      <c r="BJ86" s="211">
        <f>SUM(BH86:BI86)</f>
        <v>0</v>
      </c>
      <c r="BL86" s="151"/>
      <c r="BN86" s="153"/>
      <c r="BO86" s="153"/>
      <c r="BT86" s="177">
        <v>803</v>
      </c>
      <c r="BU86" s="174" t="s">
        <v>88</v>
      </c>
      <c r="BV86" s="191"/>
      <c r="BW86" s="191">
        <v>0</v>
      </c>
      <c r="BX86" s="211">
        <f>SUM(BV86:BW86)</f>
        <v>0</v>
      </c>
      <c r="BZ86" s="151"/>
      <c r="CB86" s="153"/>
      <c r="CC86" s="153"/>
    </row>
    <row r="87" spans="1:81" ht="13.5" thickBot="1" x14ac:dyDescent="0.25">
      <c r="E87" s="213">
        <f>SUM(E82:E86)</f>
        <v>-23000</v>
      </c>
      <c r="F87" s="148">
        <v>-8000</v>
      </c>
      <c r="G87" s="148">
        <f>SUM(G82:G86)</f>
        <v>-33531</v>
      </c>
      <c r="L87" s="213">
        <f>SUM(L82:L86)</f>
        <v>-21000</v>
      </c>
      <c r="O87" s="146" t="s">
        <v>296</v>
      </c>
      <c r="P87" s="148"/>
      <c r="Q87" s="148"/>
      <c r="R87" s="214">
        <f>SUM(R82:R86)</f>
        <v>-19500</v>
      </c>
      <c r="V87" s="148"/>
      <c r="W87" s="148"/>
      <c r="X87" s="213">
        <f>SUM(X82:X86)</f>
        <v>-6200</v>
      </c>
      <c r="AA87" s="177"/>
      <c r="AB87" s="174"/>
      <c r="AC87" s="191"/>
      <c r="AD87" s="191"/>
      <c r="AE87" s="211">
        <f>SUM(AC87:AD87)</f>
        <v>0</v>
      </c>
      <c r="AH87" s="177"/>
      <c r="AI87" s="174" t="s">
        <v>89</v>
      </c>
      <c r="AJ87" s="191"/>
      <c r="AK87" s="191">
        <v>-1000</v>
      </c>
      <c r="AL87" s="211">
        <f>SUM(AJ87:AK87)</f>
        <v>-1000</v>
      </c>
      <c r="AN87" s="151"/>
      <c r="AP87" s="153"/>
      <c r="AQ87" s="153"/>
      <c r="AT87" s="177"/>
      <c r="AU87" s="174" t="s">
        <v>89</v>
      </c>
      <c r="AV87" s="191"/>
      <c r="AW87" s="191">
        <v>-1000</v>
      </c>
      <c r="AX87" s="211">
        <f>SUM(AV87:AW87)</f>
        <v>-1000</v>
      </c>
      <c r="AZ87" s="151"/>
      <c r="BB87" s="153"/>
      <c r="BC87" s="153"/>
      <c r="BF87" s="177"/>
      <c r="BG87" s="174" t="s">
        <v>89</v>
      </c>
      <c r="BH87" s="191"/>
      <c r="BI87" s="191">
        <v>-2000</v>
      </c>
      <c r="BJ87" s="211">
        <f>SUM(BH87:BI87)</f>
        <v>-2000</v>
      </c>
      <c r="BL87" s="151"/>
      <c r="BN87" s="153"/>
      <c r="BO87" s="153"/>
      <c r="BT87" s="177"/>
      <c r="BU87" s="174" t="s">
        <v>89</v>
      </c>
      <c r="BV87" s="191"/>
      <c r="BW87" s="191">
        <v>-2000</v>
      </c>
      <c r="BX87" s="211">
        <f>SUM(BV87:BW87)</f>
        <v>-2000</v>
      </c>
      <c r="BZ87" s="151"/>
      <c r="CB87" s="153"/>
      <c r="CC87" s="153"/>
    </row>
    <row r="88" spans="1:81" ht="12" customHeight="1" thickBot="1" x14ac:dyDescent="0.25">
      <c r="E88" s="154"/>
      <c r="L88" s="154"/>
      <c r="V88" s="148"/>
      <c r="W88" s="148"/>
      <c r="X88" s="154"/>
      <c r="AA88" s="189"/>
      <c r="AB88" s="193" t="s">
        <v>295</v>
      </c>
      <c r="AC88" s="231"/>
      <c r="AD88" s="231"/>
      <c r="AE88" s="212">
        <f>SUM(AC88:AD88)</f>
        <v>0</v>
      </c>
      <c r="AH88" s="189"/>
      <c r="AI88" s="193" t="s">
        <v>295</v>
      </c>
      <c r="AJ88" s="231"/>
      <c r="AK88" s="231"/>
      <c r="AL88" s="212">
        <f>SUM(AJ88:AK88)</f>
        <v>0</v>
      </c>
      <c r="AN88" s="151"/>
      <c r="AP88" s="153"/>
      <c r="AQ88" s="153"/>
      <c r="AT88" s="189"/>
      <c r="AU88" s="193" t="s">
        <v>295</v>
      </c>
      <c r="AV88" s="231"/>
      <c r="AW88" s="231"/>
      <c r="AX88" s="212">
        <f>SUM(AV88:AW88)</f>
        <v>0</v>
      </c>
      <c r="AZ88" s="151"/>
      <c r="BB88" s="153"/>
      <c r="BC88" s="153"/>
      <c r="BF88" s="189"/>
      <c r="BG88" s="193" t="s">
        <v>90</v>
      </c>
      <c r="BH88" s="231"/>
      <c r="BI88" s="231">
        <v>0</v>
      </c>
      <c r="BJ88" s="212">
        <f>SUM(BH88:BI88)</f>
        <v>0</v>
      </c>
      <c r="BL88" s="151"/>
      <c r="BN88" s="153"/>
      <c r="BO88" s="153"/>
      <c r="BT88" s="189"/>
      <c r="BU88" s="193" t="s">
        <v>90</v>
      </c>
      <c r="BV88" s="231"/>
      <c r="BW88" s="231">
        <v>0</v>
      </c>
      <c r="BX88" s="212">
        <f>SUM(BV88:BW88)</f>
        <v>0</v>
      </c>
      <c r="BZ88" s="151"/>
      <c r="CB88" s="153"/>
      <c r="CC88" s="153"/>
    </row>
    <row r="89" spans="1:81" ht="13.5" thickBot="1" x14ac:dyDescent="0.25">
      <c r="E89" s="154"/>
      <c r="L89" s="154"/>
      <c r="P89" s="245" t="s">
        <v>297</v>
      </c>
      <c r="Q89" s="245">
        <v>-75540</v>
      </c>
      <c r="V89" s="148"/>
      <c r="W89" s="148"/>
      <c r="X89" s="154"/>
      <c r="AC89" s="148"/>
      <c r="AD89" s="148"/>
      <c r="AE89" s="213">
        <f>SUM(AE84:AE88)</f>
        <v>-6200</v>
      </c>
      <c r="AJ89" s="148"/>
      <c r="AK89" s="148"/>
      <c r="AL89" s="213">
        <f>SUM(AL84:AL88)</f>
        <v>-1000</v>
      </c>
      <c r="AN89" s="151"/>
      <c r="AP89" s="153"/>
      <c r="AQ89" s="153"/>
      <c r="AV89" s="148"/>
      <c r="AW89" s="148"/>
      <c r="AX89" s="213">
        <f>SUM(AX84:AX88)</f>
        <v>-1000</v>
      </c>
      <c r="AZ89" s="151"/>
      <c r="BB89" s="153"/>
      <c r="BC89" s="153"/>
      <c r="BH89" s="148"/>
      <c r="BI89" s="148"/>
      <c r="BJ89" s="213">
        <f>SUM(BJ84:BJ88)</f>
        <v>-2000</v>
      </c>
      <c r="BL89" s="151"/>
      <c r="BN89" s="153"/>
      <c r="BO89" s="153"/>
      <c r="BV89" s="148"/>
      <c r="BW89" s="148"/>
      <c r="BX89" s="213">
        <f>SUM(BX84:BX88)</f>
        <v>-2000</v>
      </c>
      <c r="BZ89" s="151"/>
      <c r="CB89" s="153"/>
      <c r="CC89" s="153"/>
    </row>
    <row r="90" spans="1:81" x14ac:dyDescent="0.2">
      <c r="D90" s="148" t="s">
        <v>91</v>
      </c>
      <c r="E90" s="246">
        <f>E18+E32+E49+E76+E65+E87</f>
        <v>-126310</v>
      </c>
      <c r="F90" s="148">
        <f>SUM(F9:F89)</f>
        <v>-75750</v>
      </c>
      <c r="G90" s="148">
        <f>G18+G32+G49+G65+G76+G87</f>
        <v>-127370</v>
      </c>
      <c r="K90" s="148" t="s">
        <v>91</v>
      </c>
      <c r="L90" s="246">
        <f>L18+L32+L49+L76+L65+L87</f>
        <v>-88540</v>
      </c>
      <c r="V90" s="148"/>
      <c r="W90" s="148" t="s">
        <v>91</v>
      </c>
      <c r="X90" s="246">
        <f>X18+X32+X49+X76+X65+X87</f>
        <v>-95585</v>
      </c>
      <c r="Y90" s="146" t="s">
        <v>298</v>
      </c>
      <c r="AC90" s="148"/>
      <c r="AD90" s="148"/>
      <c r="AE90" s="154"/>
      <c r="AJ90" s="148"/>
      <c r="AK90" s="148"/>
      <c r="AL90" s="154"/>
      <c r="AN90" s="151"/>
      <c r="AV90" s="148"/>
      <c r="AW90" s="148"/>
      <c r="AX90" s="154"/>
      <c r="AZ90" s="151"/>
      <c r="BH90" s="148"/>
      <c r="BI90" s="148"/>
      <c r="BJ90" s="154"/>
      <c r="BL90" s="151"/>
      <c r="BV90" s="148"/>
      <c r="BW90" s="148"/>
      <c r="BX90" s="154"/>
      <c r="BZ90" s="151"/>
    </row>
    <row r="91" spans="1:81" x14ac:dyDescent="0.2">
      <c r="AC91" s="148"/>
      <c r="AD91" s="148"/>
      <c r="AE91" s="154"/>
      <c r="AJ91" s="148"/>
      <c r="AK91" s="148"/>
      <c r="AL91" s="154"/>
      <c r="AN91" s="151"/>
      <c r="AV91" s="148"/>
      <c r="AW91" s="148"/>
      <c r="AX91" s="154"/>
      <c r="AZ91" s="151"/>
      <c r="BH91" s="148"/>
      <c r="BI91" s="148"/>
      <c r="BJ91" s="154"/>
      <c r="BL91" s="151"/>
      <c r="BV91" s="148"/>
      <c r="BW91" s="148"/>
      <c r="BX91" s="154"/>
      <c r="BZ91" s="151"/>
    </row>
    <row r="92" spans="1:81" x14ac:dyDescent="0.2">
      <c r="F92" s="148">
        <v>72210</v>
      </c>
      <c r="AC92" s="148"/>
      <c r="AD92" s="148" t="s">
        <v>91</v>
      </c>
      <c r="AE92" s="246">
        <f>AE18+AE32+AE49+AE78+AE67+AE89</f>
        <v>-51275</v>
      </c>
      <c r="AJ92" s="148"/>
      <c r="AK92" s="148" t="s">
        <v>91</v>
      </c>
      <c r="AL92" s="246">
        <f>AL18+AL32+AL49+AL78+AL67+AL89</f>
        <v>-55000</v>
      </c>
      <c r="AN92" s="151">
        <f>SUM(AN5:AN91)</f>
        <v>58000</v>
      </c>
      <c r="AV92" s="148"/>
      <c r="AW92" s="148" t="s">
        <v>91</v>
      </c>
      <c r="AX92" s="246">
        <f>AX18+AX32+AX49+AX78+AX67+AX89</f>
        <v>-54000</v>
      </c>
      <c r="AZ92" s="151">
        <f>SUM(AZ5:AZ91)</f>
        <v>54000</v>
      </c>
      <c r="BH92" s="148"/>
      <c r="BI92" s="148" t="s">
        <v>91</v>
      </c>
      <c r="BJ92" s="246">
        <f>BJ18+BJ32+BJ49+BJ78+BJ67+BJ89</f>
        <v>-47691.8</v>
      </c>
      <c r="BL92" s="151">
        <f>SUM(BL5:BL91)</f>
        <v>48000</v>
      </c>
      <c r="BV92" s="148"/>
      <c r="BW92" s="148" t="s">
        <v>91</v>
      </c>
      <c r="BX92" s="246">
        <f>BX18+BX32+BX49+BX78+BX67+BX89</f>
        <v>-57985</v>
      </c>
      <c r="BZ92" s="151">
        <f>SUM(BZ5:BZ91)</f>
        <v>58000</v>
      </c>
    </row>
  </sheetData>
  <sheetProtection selectLockedCells="1" selectUnlockedCells="1"/>
  <pageMargins left="0.74791666666666667" right="0.74791666666666667" top="0.51180555555555551" bottom="0.59027777777777768" header="0.51180555555555551" footer="0.51180555555555551"/>
  <pageSetup paperSize="9" firstPageNumber="0" orientation="landscape" horizontalDpi="300" verticalDpi="300"/>
  <headerFooter alignWithMargins="0">
    <oddHeader>&amp;R2007-10-26/Asgeir</oddHeader>
    <oddFooter>&amp;LFile: &amp;F&amp;RPage: &amp;P (&amp;N)</oddFooter>
  </headerFooter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1</xdr:col>
                <xdr:colOff>514350</xdr:colOff>
                <xdr:row>3</xdr:row>
                <xdr:rowOff>257175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2016</vt:lpstr>
      <vt:lpstr>Detaljer</vt:lpstr>
      <vt:lpstr> Budget per Aktivitet 2008-2015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</dc:creator>
  <cp:lastModifiedBy>Mari Kraft</cp:lastModifiedBy>
  <cp:lastPrinted>2015-11-10T15:41:58Z</cp:lastPrinted>
  <dcterms:created xsi:type="dcterms:W3CDTF">2014-11-14T12:11:00Z</dcterms:created>
  <dcterms:modified xsi:type="dcterms:W3CDTF">2016-01-30T09:20:17Z</dcterms:modified>
</cp:coreProperties>
</file>