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4240" windowHeight="12210"/>
  </bookViews>
  <sheets>
    <sheet name="Budget 2018" sheetId="6" r:id="rId1"/>
    <sheet name="Detaljer 2018" sheetId="8" r:id="rId2"/>
    <sheet name="Budget 2017" sheetId="1" r:id="rId3"/>
    <sheet name="Detaljer 2017" sheetId="2" r:id="rId4"/>
    <sheet name="Budget 2016" sheetId="3" r:id="rId5"/>
    <sheet name="Detaljer 2016" sheetId="4" r:id="rId6"/>
    <sheet name=" Budget per Aktivitet 2008-2015" sheetId="5" r:id="rId7"/>
  </sheets>
  <calcPr calcId="125725" iterateDelta="1E-4"/>
</workbook>
</file>

<file path=xl/calcChain.xml><?xml version="1.0" encoding="utf-8"?>
<calcChain xmlns="http://schemas.openxmlformats.org/spreadsheetml/2006/main">
  <c r="I5" i="6"/>
  <c r="G90" i="8"/>
  <c r="G98"/>
  <c r="F98"/>
  <c r="E98"/>
  <c r="G120"/>
  <c r="G119"/>
  <c r="G118"/>
  <c r="G117"/>
  <c r="G122" s="1"/>
  <c r="I116" s="1"/>
  <c r="E117"/>
  <c r="G129"/>
  <c r="G128"/>
  <c r="G131" s="1"/>
  <c r="I127" s="1"/>
  <c r="G108"/>
  <c r="G107"/>
  <c r="G106"/>
  <c r="G110" s="1"/>
  <c r="I105" s="1"/>
  <c r="G97"/>
  <c r="G95"/>
  <c r="G94"/>
  <c r="G93"/>
  <c r="G92"/>
  <c r="G91"/>
  <c r="I89"/>
  <c r="L84"/>
  <c r="F84"/>
  <c r="G83"/>
  <c r="E83"/>
  <c r="E84" s="1"/>
  <c r="G82"/>
  <c r="G81"/>
  <c r="G80"/>
  <c r="G84" s="1"/>
  <c r="I79" s="1"/>
  <c r="G72"/>
  <c r="E68"/>
  <c r="G68" s="1"/>
  <c r="G67"/>
  <c r="F67"/>
  <c r="F66"/>
  <c r="G66" s="1"/>
  <c r="G65"/>
  <c r="F65"/>
  <c r="F64"/>
  <c r="G64" s="1"/>
  <c r="G63"/>
  <c r="F63"/>
  <c r="G62"/>
  <c r="G61"/>
  <c r="G73" s="1"/>
  <c r="I60" s="1"/>
  <c r="L72" s="1"/>
  <c r="F61"/>
  <c r="F73" s="1"/>
  <c r="F55"/>
  <c r="G54"/>
  <c r="G51"/>
  <c r="E51"/>
  <c r="E55" s="1"/>
  <c r="G50"/>
  <c r="F50"/>
  <c r="G49"/>
  <c r="F49"/>
  <c r="G48"/>
  <c r="F48"/>
  <c r="G47"/>
  <c r="F47"/>
  <c r="G46"/>
  <c r="F46"/>
  <c r="G45"/>
  <c r="G44"/>
  <c r="G55" s="1"/>
  <c r="I43" s="1"/>
  <c r="L54" s="1"/>
  <c r="F39"/>
  <c r="E39"/>
  <c r="G37"/>
  <c r="G39" s="1"/>
  <c r="I36" s="1"/>
  <c r="L38" s="1"/>
  <c r="G30"/>
  <c r="G29"/>
  <c r="E29"/>
  <c r="E32" s="1"/>
  <c r="G28"/>
  <c r="F28"/>
  <c r="G27"/>
  <c r="F27"/>
  <c r="G26"/>
  <c r="G32" s="1"/>
  <c r="I23" s="1"/>
  <c r="L31" s="1"/>
  <c r="F26"/>
  <c r="F32" s="1"/>
  <c r="G25"/>
  <c r="G24"/>
  <c r="L18"/>
  <c r="E18"/>
  <c r="G17"/>
  <c r="G16"/>
  <c r="G15"/>
  <c r="E15"/>
  <c r="G14"/>
  <c r="F14"/>
  <c r="G13"/>
  <c r="F13"/>
  <c r="G12"/>
  <c r="F12"/>
  <c r="F18" s="1"/>
  <c r="G11"/>
  <c r="G10"/>
  <c r="G18" s="1"/>
  <c r="G101" l="1"/>
  <c r="I9"/>
  <c r="E73"/>
  <c r="I135" l="1"/>
  <c r="L17"/>
  <c r="H5" i="6" l="1"/>
  <c r="I11"/>
  <c r="J5"/>
  <c r="E34"/>
  <c r="C34"/>
  <c r="D34"/>
  <c r="E16"/>
  <c r="D16"/>
  <c r="C16"/>
  <c r="J15"/>
  <c r="I15"/>
  <c r="H15"/>
  <c r="J13"/>
  <c r="I13"/>
  <c r="H13"/>
  <c r="J12"/>
  <c r="I12"/>
  <c r="H12"/>
  <c r="J11"/>
  <c r="H11"/>
  <c r="J9"/>
  <c r="I9"/>
  <c r="H9"/>
  <c r="J8"/>
  <c r="I8"/>
  <c r="H8"/>
  <c r="J7"/>
  <c r="I7"/>
  <c r="H7"/>
  <c r="J6"/>
  <c r="I6"/>
  <c r="H6"/>
  <c r="E39" l="1"/>
  <c r="J16"/>
  <c r="H16"/>
  <c r="I16"/>
  <c r="D39"/>
  <c r="C39"/>
  <c r="I12" i="1"/>
  <c r="E19" l="1"/>
  <c r="BZ92" i="5"/>
  <c r="BL92"/>
  <c r="AZ92"/>
  <c r="AN92"/>
  <c r="F90"/>
  <c r="BX88"/>
  <c r="BJ88"/>
  <c r="AX88"/>
  <c r="AL88"/>
  <c r="AE88"/>
  <c r="BX87"/>
  <c r="BJ87"/>
  <c r="AX87"/>
  <c r="AL87"/>
  <c r="AE87"/>
  <c r="G87"/>
  <c r="BX86"/>
  <c r="BJ86"/>
  <c r="AX86"/>
  <c r="AL86"/>
  <c r="AE86"/>
  <c r="X86"/>
  <c r="R86"/>
  <c r="L86"/>
  <c r="E86"/>
  <c r="BX85"/>
  <c r="BX89" s="1"/>
  <c r="BJ85"/>
  <c r="AX85"/>
  <c r="AL85"/>
  <c r="AE85"/>
  <c r="AE89" s="1"/>
  <c r="X85"/>
  <c r="R85"/>
  <c r="L85"/>
  <c r="E85"/>
  <c r="BX84"/>
  <c r="BJ84"/>
  <c r="AX84"/>
  <c r="AL84"/>
  <c r="AL89" s="1"/>
  <c r="AE84"/>
  <c r="X84"/>
  <c r="R84"/>
  <c r="L84"/>
  <c r="E84"/>
  <c r="X83"/>
  <c r="R83"/>
  <c r="L83"/>
  <c r="E83"/>
  <c r="X82"/>
  <c r="R82"/>
  <c r="R87" s="1"/>
  <c r="L82"/>
  <c r="L87" s="1"/>
  <c r="E82"/>
  <c r="BV77"/>
  <c r="BX77" s="1"/>
  <c r="BH77"/>
  <c r="BH78" s="1"/>
  <c r="AX77"/>
  <c r="AL77"/>
  <c r="AE77"/>
  <c r="BX76"/>
  <c r="BJ76"/>
  <c r="BX75"/>
  <c r="BJ75"/>
  <c r="BX74"/>
  <c r="BJ74"/>
  <c r="AW74"/>
  <c r="AX74" s="1"/>
  <c r="AX78" s="1"/>
  <c r="AK74"/>
  <c r="AL74" s="1"/>
  <c r="AL78" s="1"/>
  <c r="AD74"/>
  <c r="AE74" s="1"/>
  <c r="X74"/>
  <c r="R74"/>
  <c r="L74"/>
  <c r="E74"/>
  <c r="X72"/>
  <c r="X76" s="1"/>
  <c r="W72"/>
  <c r="R72"/>
  <c r="R76" s="1"/>
  <c r="L72"/>
  <c r="E72"/>
  <c r="E76" s="1"/>
  <c r="BX66"/>
  <c r="BJ66"/>
  <c r="X64"/>
  <c r="R64"/>
  <c r="L64"/>
  <c r="E64"/>
  <c r="BV62"/>
  <c r="BX62" s="1"/>
  <c r="BJ62"/>
  <c r="BH62"/>
  <c r="BH67" s="1"/>
  <c r="AC62"/>
  <c r="AE62" s="1"/>
  <c r="BW61"/>
  <c r="BX61" s="1"/>
  <c r="BI61"/>
  <c r="BJ61" s="1"/>
  <c r="AX61"/>
  <c r="AW61"/>
  <c r="AK61"/>
  <c r="AL61" s="1"/>
  <c r="AD61"/>
  <c r="AE61" s="1"/>
  <c r="BW60"/>
  <c r="BX60" s="1"/>
  <c r="BJ60"/>
  <c r="BI60"/>
  <c r="AW60"/>
  <c r="AX60" s="1"/>
  <c r="AK60"/>
  <c r="AL60" s="1"/>
  <c r="AD60"/>
  <c r="AE60" s="1"/>
  <c r="X60"/>
  <c r="V60"/>
  <c r="R60"/>
  <c r="L60"/>
  <c r="G60"/>
  <c r="G65" s="1"/>
  <c r="E60"/>
  <c r="BW59"/>
  <c r="BX59" s="1"/>
  <c r="BI59"/>
  <c r="BJ59" s="1"/>
  <c r="AW59"/>
  <c r="AX59" s="1"/>
  <c r="AL59"/>
  <c r="AK59"/>
  <c r="AD59"/>
  <c r="AE59" s="1"/>
  <c r="W59"/>
  <c r="X59" s="1"/>
  <c r="BW58"/>
  <c r="BX58" s="1"/>
  <c r="BJ58"/>
  <c r="BI58"/>
  <c r="AW58"/>
  <c r="AX58" s="1"/>
  <c r="AK58"/>
  <c r="AL58" s="1"/>
  <c r="AD58"/>
  <c r="AE58" s="1"/>
  <c r="X58"/>
  <c r="W58"/>
  <c r="R58"/>
  <c r="L58"/>
  <c r="E58"/>
  <c r="BW57"/>
  <c r="BX57" s="1"/>
  <c r="BJ57"/>
  <c r="BI57"/>
  <c r="AW57"/>
  <c r="AX57" s="1"/>
  <c r="AK57"/>
  <c r="AQ66" s="1"/>
  <c r="AJ62" s="1"/>
  <c r="AL62" s="1"/>
  <c r="AD57"/>
  <c r="AE57" s="1"/>
  <c r="W57"/>
  <c r="X57" s="1"/>
  <c r="R57"/>
  <c r="L57"/>
  <c r="E57"/>
  <c r="BX56"/>
  <c r="BJ56"/>
  <c r="AX56"/>
  <c r="AL56"/>
  <c r="AE56"/>
  <c r="X56"/>
  <c r="R56"/>
  <c r="L56"/>
  <c r="E56"/>
  <c r="BX55"/>
  <c r="BJ55"/>
  <c r="AX55"/>
  <c r="AL55"/>
  <c r="AE55"/>
  <c r="X55"/>
  <c r="R55"/>
  <c r="L55"/>
  <c r="L65" s="1"/>
  <c r="E55"/>
  <c r="G49"/>
  <c r="BX48"/>
  <c r="BJ48"/>
  <c r="AX48"/>
  <c r="AL48"/>
  <c r="AE48"/>
  <c r="X48"/>
  <c r="R48"/>
  <c r="L48"/>
  <c r="E48"/>
  <c r="R46"/>
  <c r="K46"/>
  <c r="L46" s="1"/>
  <c r="E46"/>
  <c r="BV45"/>
  <c r="BX45" s="1"/>
  <c r="BH45"/>
  <c r="BJ45" s="1"/>
  <c r="AC45"/>
  <c r="AE45" s="1"/>
  <c r="V45"/>
  <c r="X45" s="1"/>
  <c r="BW44"/>
  <c r="BX44" s="1"/>
  <c r="BI44"/>
  <c r="BJ44" s="1"/>
  <c r="AX44"/>
  <c r="AW44"/>
  <c r="AK44"/>
  <c r="AL44" s="1"/>
  <c r="AD44"/>
  <c r="AE44" s="1"/>
  <c r="W44"/>
  <c r="X44" s="1"/>
  <c r="BX43"/>
  <c r="BW43"/>
  <c r="BI43"/>
  <c r="BJ43" s="1"/>
  <c r="AW43"/>
  <c r="AX43" s="1"/>
  <c r="AK43"/>
  <c r="AL43" s="1"/>
  <c r="AE43"/>
  <c r="AD43"/>
  <c r="W43"/>
  <c r="X43" s="1"/>
  <c r="BW42"/>
  <c r="BX42" s="1"/>
  <c r="BI42"/>
  <c r="BJ42" s="1"/>
  <c r="AX42"/>
  <c r="AW42"/>
  <c r="AK42"/>
  <c r="AL42" s="1"/>
  <c r="AD42"/>
  <c r="AE42" s="1"/>
  <c r="W42"/>
  <c r="X42" s="1"/>
  <c r="BX41"/>
  <c r="BW41"/>
  <c r="BI41"/>
  <c r="BJ41" s="1"/>
  <c r="AW41"/>
  <c r="AX41" s="1"/>
  <c r="AK41"/>
  <c r="AL41" s="1"/>
  <c r="AE41"/>
  <c r="AD41"/>
  <c r="W41"/>
  <c r="X41" s="1"/>
  <c r="R41"/>
  <c r="K41"/>
  <c r="L41" s="1"/>
  <c r="E41"/>
  <c r="BX40"/>
  <c r="BW40"/>
  <c r="BI40"/>
  <c r="BJ40" s="1"/>
  <c r="AW40"/>
  <c r="BC48" s="1"/>
  <c r="AV45" s="1"/>
  <c r="AX45" s="1"/>
  <c r="AK40"/>
  <c r="AL40" s="1"/>
  <c r="AE40"/>
  <c r="AD40"/>
  <c r="W40"/>
  <c r="X40" s="1"/>
  <c r="BX39"/>
  <c r="BJ39"/>
  <c r="AX39"/>
  <c r="AL39"/>
  <c r="AE39"/>
  <c r="X39"/>
  <c r="R39"/>
  <c r="L39"/>
  <c r="E39"/>
  <c r="BX38"/>
  <c r="BJ38"/>
  <c r="AX38"/>
  <c r="AL38"/>
  <c r="AE38"/>
  <c r="X38"/>
  <c r="R38"/>
  <c r="R49" s="1"/>
  <c r="L38"/>
  <c r="E38"/>
  <c r="G32"/>
  <c r="X31"/>
  <c r="R31"/>
  <c r="L31"/>
  <c r="E31"/>
  <c r="BX30"/>
  <c r="BJ30"/>
  <c r="AX30"/>
  <c r="AL30"/>
  <c r="AE30"/>
  <c r="X30"/>
  <c r="R30"/>
  <c r="L30"/>
  <c r="E30"/>
  <c r="BV29"/>
  <c r="BH29"/>
  <c r="BH32" s="1"/>
  <c r="AC29"/>
  <c r="AE29" s="1"/>
  <c r="V29"/>
  <c r="X29" s="1"/>
  <c r="R29"/>
  <c r="J29"/>
  <c r="L29" s="1"/>
  <c r="E29"/>
  <c r="BW28"/>
  <c r="BX28" s="1"/>
  <c r="BI28"/>
  <c r="BJ28" s="1"/>
  <c r="AX28"/>
  <c r="AL28"/>
  <c r="AE28"/>
  <c r="X28"/>
  <c r="R28"/>
  <c r="L28"/>
  <c r="E28"/>
  <c r="BW27"/>
  <c r="BX27" s="1"/>
  <c r="BI27"/>
  <c r="BJ27" s="1"/>
  <c r="AW27"/>
  <c r="AX27" s="1"/>
  <c r="AK27"/>
  <c r="AL27" s="1"/>
  <c r="AE27"/>
  <c r="AD27"/>
  <c r="W27"/>
  <c r="X27" s="1"/>
  <c r="BW26"/>
  <c r="BX26" s="1"/>
  <c r="BI26"/>
  <c r="AX26"/>
  <c r="AW26"/>
  <c r="AK26"/>
  <c r="AQ31" s="1"/>
  <c r="AJ29" s="1"/>
  <c r="AL29" s="1"/>
  <c r="AD26"/>
  <c r="AE26" s="1"/>
  <c r="W26"/>
  <c r="X26" s="1"/>
  <c r="R26"/>
  <c r="M26"/>
  <c r="L26"/>
  <c r="E26"/>
  <c r="BX25"/>
  <c r="BJ25"/>
  <c r="AX25"/>
  <c r="AL25"/>
  <c r="AE25"/>
  <c r="X25"/>
  <c r="BX24"/>
  <c r="BJ24"/>
  <c r="AX24"/>
  <c r="AL24"/>
  <c r="AE24"/>
  <c r="X24"/>
  <c r="R24"/>
  <c r="R32" s="1"/>
  <c r="L24"/>
  <c r="E24"/>
  <c r="E32" s="1"/>
  <c r="BO18"/>
  <c r="G18"/>
  <c r="BW17"/>
  <c r="BX17" s="1"/>
  <c r="BJ17"/>
  <c r="BI17"/>
  <c r="AX17"/>
  <c r="AL17"/>
  <c r="AE17"/>
  <c r="X17"/>
  <c r="R17"/>
  <c r="L17"/>
  <c r="E17"/>
  <c r="BX16"/>
  <c r="BJ16"/>
  <c r="AX16"/>
  <c r="AL16"/>
  <c r="AE16"/>
  <c r="X16"/>
  <c r="R16"/>
  <c r="L16"/>
  <c r="E16"/>
  <c r="BV15"/>
  <c r="BV18" s="1"/>
  <c r="BH15"/>
  <c r="BJ15" s="1"/>
  <c r="AE15"/>
  <c r="X15"/>
  <c r="V15"/>
  <c r="R15"/>
  <c r="J15"/>
  <c r="L15" s="1"/>
  <c r="E15"/>
  <c r="BW14"/>
  <c r="BX14" s="1"/>
  <c r="BI14"/>
  <c r="BJ14" s="1"/>
  <c r="AW14"/>
  <c r="BC17" s="1"/>
  <c r="AV15" s="1"/>
  <c r="AX15" s="1"/>
  <c r="AK14"/>
  <c r="AL14" s="1"/>
  <c r="AE14"/>
  <c r="AD14"/>
  <c r="X14"/>
  <c r="W14"/>
  <c r="R14"/>
  <c r="Q14"/>
  <c r="L14"/>
  <c r="K14"/>
  <c r="E14"/>
  <c r="E18" s="1"/>
  <c r="D14"/>
  <c r="BW13"/>
  <c r="BX13" s="1"/>
  <c r="BI13"/>
  <c r="AX13"/>
  <c r="AL13"/>
  <c r="AE13"/>
  <c r="W13"/>
  <c r="X13" s="1"/>
  <c r="X18" s="1"/>
  <c r="BW12"/>
  <c r="BJ12"/>
  <c r="BI12"/>
  <c r="BI18" s="1"/>
  <c r="AX12"/>
  <c r="AL12"/>
  <c r="AE12"/>
  <c r="W12"/>
  <c r="X12" s="1"/>
  <c r="R12"/>
  <c r="L12"/>
  <c r="E12"/>
  <c r="BX11"/>
  <c r="BJ11"/>
  <c r="AX11"/>
  <c r="AL11"/>
  <c r="X11"/>
  <c r="BX10"/>
  <c r="BJ10"/>
  <c r="AX10"/>
  <c r="AL10"/>
  <c r="AE10"/>
  <c r="X10"/>
  <c r="R10"/>
  <c r="L10"/>
  <c r="E10"/>
  <c r="G126" i="4"/>
  <c r="G125"/>
  <c r="G124"/>
  <c r="G123"/>
  <c r="G115"/>
  <c r="G114"/>
  <c r="G113"/>
  <c r="G112"/>
  <c r="G103"/>
  <c r="G102"/>
  <c r="G101"/>
  <c r="G100"/>
  <c r="G91"/>
  <c r="G89"/>
  <c r="G88"/>
  <c r="G87"/>
  <c r="G86"/>
  <c r="G85"/>
  <c r="G84"/>
  <c r="F78"/>
  <c r="E78"/>
  <c r="E77"/>
  <c r="G77" s="1"/>
  <c r="L78" s="1"/>
  <c r="G76"/>
  <c r="G75"/>
  <c r="G74"/>
  <c r="G66"/>
  <c r="E62"/>
  <c r="E67" s="1"/>
  <c r="F61"/>
  <c r="G61" s="1"/>
  <c r="G60"/>
  <c r="F60"/>
  <c r="F59"/>
  <c r="G59" s="1"/>
  <c r="F58"/>
  <c r="G58" s="1"/>
  <c r="F57"/>
  <c r="G57" s="1"/>
  <c r="G56"/>
  <c r="G55"/>
  <c r="G48"/>
  <c r="E45"/>
  <c r="E49" s="1"/>
  <c r="F44"/>
  <c r="G44" s="1"/>
  <c r="G43"/>
  <c r="F43"/>
  <c r="F42"/>
  <c r="G42" s="1"/>
  <c r="F41"/>
  <c r="G41" s="1"/>
  <c r="F40"/>
  <c r="G40" s="1"/>
  <c r="G39"/>
  <c r="G38"/>
  <c r="G30"/>
  <c r="E29"/>
  <c r="E32" s="1"/>
  <c r="F28"/>
  <c r="G28" s="1"/>
  <c r="G27"/>
  <c r="F27"/>
  <c r="F26"/>
  <c r="G26" s="1"/>
  <c r="G25"/>
  <c r="G24"/>
  <c r="G17"/>
  <c r="F17"/>
  <c r="G16"/>
  <c r="E15"/>
  <c r="E18" s="1"/>
  <c r="F14"/>
  <c r="G14" s="1"/>
  <c r="F13"/>
  <c r="G13" s="1"/>
  <c r="F12"/>
  <c r="G11"/>
  <c r="G10"/>
  <c r="E39" i="3"/>
  <c r="C39"/>
  <c r="D23"/>
  <c r="D39" s="1"/>
  <c r="D44" s="1"/>
  <c r="E19"/>
  <c r="D19"/>
  <c r="C19"/>
  <c r="C44" s="1"/>
  <c r="J16"/>
  <c r="I16"/>
  <c r="H16"/>
  <c r="J12"/>
  <c r="H12"/>
  <c r="J11"/>
  <c r="I11"/>
  <c r="H11"/>
  <c r="J10"/>
  <c r="I10"/>
  <c r="H10"/>
  <c r="J9"/>
  <c r="I9"/>
  <c r="H9"/>
  <c r="J8"/>
  <c r="I8"/>
  <c r="H8"/>
  <c r="J7"/>
  <c r="I7"/>
  <c r="H7"/>
  <c r="J6"/>
  <c r="I6"/>
  <c r="H6"/>
  <c r="J5"/>
  <c r="I5"/>
  <c r="H5"/>
  <c r="G123" i="2"/>
  <c r="G125" s="1"/>
  <c r="I121" s="1"/>
  <c r="G122"/>
  <c r="G114"/>
  <c r="G113"/>
  <c r="G112"/>
  <c r="G111"/>
  <c r="G102"/>
  <c r="G101"/>
  <c r="G100"/>
  <c r="G104" s="1"/>
  <c r="I99" s="1"/>
  <c r="G91"/>
  <c r="G89"/>
  <c r="G88"/>
  <c r="G87"/>
  <c r="G86"/>
  <c r="G85"/>
  <c r="G84"/>
  <c r="F78"/>
  <c r="E77"/>
  <c r="G77" s="1"/>
  <c r="L78" s="1"/>
  <c r="G76"/>
  <c r="G75"/>
  <c r="G74"/>
  <c r="E67"/>
  <c r="G66"/>
  <c r="G62"/>
  <c r="G61"/>
  <c r="F61"/>
  <c r="F60"/>
  <c r="G60" s="1"/>
  <c r="F59"/>
  <c r="G59" s="1"/>
  <c r="F58"/>
  <c r="G58" s="1"/>
  <c r="G57"/>
  <c r="F57"/>
  <c r="G56"/>
  <c r="G55"/>
  <c r="G48"/>
  <c r="E45"/>
  <c r="G45" s="1"/>
  <c r="F44"/>
  <c r="G44" s="1"/>
  <c r="F43"/>
  <c r="G43" s="1"/>
  <c r="G42"/>
  <c r="F42"/>
  <c r="G41"/>
  <c r="F40"/>
  <c r="G39"/>
  <c r="G38"/>
  <c r="G30"/>
  <c r="E29"/>
  <c r="F28"/>
  <c r="G28" s="1"/>
  <c r="F27"/>
  <c r="G27" s="1"/>
  <c r="F26"/>
  <c r="G25"/>
  <c r="G24"/>
  <c r="L18"/>
  <c r="G17"/>
  <c r="G16"/>
  <c r="E15"/>
  <c r="E18" s="1"/>
  <c r="G14"/>
  <c r="F14"/>
  <c r="F13"/>
  <c r="G13" s="1"/>
  <c r="F12"/>
  <c r="G11"/>
  <c r="G10"/>
  <c r="E39" i="1"/>
  <c r="C39"/>
  <c r="D32"/>
  <c r="D28"/>
  <c r="I6" s="1"/>
  <c r="D24"/>
  <c r="C19"/>
  <c r="H19" s="1"/>
  <c r="J16"/>
  <c r="I16"/>
  <c r="H16"/>
  <c r="J12"/>
  <c r="H12"/>
  <c r="J11"/>
  <c r="I11"/>
  <c r="H11"/>
  <c r="J10"/>
  <c r="H10"/>
  <c r="D10"/>
  <c r="D19" s="1"/>
  <c r="J9"/>
  <c r="I9"/>
  <c r="H9"/>
  <c r="J8"/>
  <c r="I8"/>
  <c r="H8"/>
  <c r="J7"/>
  <c r="I7"/>
  <c r="H7"/>
  <c r="J6"/>
  <c r="H6"/>
  <c r="J5"/>
  <c r="I5"/>
  <c r="H5"/>
  <c r="J19" l="1"/>
  <c r="F18" i="2"/>
  <c r="E49"/>
  <c r="E78"/>
  <c r="F18" i="4"/>
  <c r="CC17" i="5"/>
  <c r="AE32"/>
  <c r="BC31"/>
  <c r="AV29" s="1"/>
  <c r="AX29" s="1"/>
  <c r="AX32" s="1"/>
  <c r="AE49"/>
  <c r="BX49"/>
  <c r="BJ67"/>
  <c r="BJ89"/>
  <c r="D39" i="1"/>
  <c r="G12" i="2"/>
  <c r="G92"/>
  <c r="I83" s="1"/>
  <c r="G116"/>
  <c r="I110" s="1"/>
  <c r="I12" i="3"/>
  <c r="H19"/>
  <c r="F67" i="4"/>
  <c r="BO17" i="5"/>
  <c r="BJ29"/>
  <c r="BV49"/>
  <c r="R65"/>
  <c r="AL67"/>
  <c r="AL57"/>
  <c r="BC66"/>
  <c r="AV62" s="1"/>
  <c r="AX62" s="1"/>
  <c r="AX67" s="1"/>
  <c r="L76"/>
  <c r="AE78"/>
  <c r="AX89"/>
  <c r="F67" i="2"/>
  <c r="G67" i="4"/>
  <c r="I54" s="1"/>
  <c r="L66" s="1"/>
  <c r="AX49" i="5"/>
  <c r="CC48"/>
  <c r="BW49"/>
  <c r="BV78"/>
  <c r="C44" i="1"/>
  <c r="F32" i="2"/>
  <c r="F49"/>
  <c r="G78"/>
  <c r="I73" s="1"/>
  <c r="L18" i="4"/>
  <c r="G29"/>
  <c r="G32" s="1"/>
  <c r="I23" s="1"/>
  <c r="L31" s="1"/>
  <c r="G45"/>
  <c r="G49" s="1"/>
  <c r="I37" s="1"/>
  <c r="L48" s="1"/>
  <c r="G62"/>
  <c r="G92"/>
  <c r="I83" s="1"/>
  <c r="G117"/>
  <c r="I111" s="1"/>
  <c r="G128"/>
  <c r="I122" s="1"/>
  <c r="R18" i="5"/>
  <c r="BX15"/>
  <c r="AQ17"/>
  <c r="AJ15" s="1"/>
  <c r="AL15" s="1"/>
  <c r="X32"/>
  <c r="AX40"/>
  <c r="E49"/>
  <c r="BX32"/>
  <c r="D44" i="1"/>
  <c r="I19"/>
  <c r="X49" i="5"/>
  <c r="BV32"/>
  <c r="BX29"/>
  <c r="G15" i="4"/>
  <c r="F32"/>
  <c r="CC18" i="5"/>
  <c r="BO31"/>
  <c r="BI32"/>
  <c r="BJ77"/>
  <c r="BJ78" s="1"/>
  <c r="E44" i="1"/>
  <c r="G29" i="2"/>
  <c r="G32" s="1"/>
  <c r="I23" s="1"/>
  <c r="L31" s="1"/>
  <c r="E32"/>
  <c r="G40"/>
  <c r="G49" s="1"/>
  <c r="I37" s="1"/>
  <c r="L48" s="1"/>
  <c r="G67"/>
  <c r="I54" s="1"/>
  <c r="L66" s="1"/>
  <c r="J19" i="3"/>
  <c r="E44"/>
  <c r="F49" i="4"/>
  <c r="G78"/>
  <c r="I73" s="1"/>
  <c r="G105"/>
  <c r="I99" s="1"/>
  <c r="L18" i="5"/>
  <c r="AL18"/>
  <c r="AX14"/>
  <c r="AX18" s="1"/>
  <c r="L32"/>
  <c r="CC31"/>
  <c r="BJ49"/>
  <c r="BH49"/>
  <c r="CC66"/>
  <c r="BV67"/>
  <c r="E87"/>
  <c r="BJ13"/>
  <c r="BJ18" s="1"/>
  <c r="L49"/>
  <c r="X65"/>
  <c r="I10" i="1"/>
  <c r="G15" i="2"/>
  <c r="G18" s="1"/>
  <c r="G26"/>
  <c r="I19" i="3"/>
  <c r="AE18" i="5"/>
  <c r="BW18"/>
  <c r="BX12"/>
  <c r="G90"/>
  <c r="BH18"/>
  <c r="AL26"/>
  <c r="AL32" s="1"/>
  <c r="BJ26"/>
  <c r="BW32"/>
  <c r="AQ48"/>
  <c r="AJ45" s="1"/>
  <c r="AL45" s="1"/>
  <c r="AL49" s="1"/>
  <c r="BI49"/>
  <c r="BO48"/>
  <c r="E65"/>
  <c r="E90" s="1"/>
  <c r="AE67"/>
  <c r="BX67"/>
  <c r="CF66" s="1"/>
  <c r="BI67"/>
  <c r="BO66"/>
  <c r="BX78"/>
  <c r="X87"/>
  <c r="BW67"/>
  <c r="G12" i="4"/>
  <c r="G18" s="1"/>
  <c r="AL92" i="5" l="1"/>
  <c r="BJ32"/>
  <c r="BX18"/>
  <c r="BX92" s="1"/>
  <c r="L90"/>
  <c r="X90"/>
  <c r="BJ92"/>
  <c r="AE92"/>
  <c r="AX92"/>
  <c r="G95" i="2"/>
  <c r="I9"/>
  <c r="I9" i="4"/>
  <c r="G95"/>
  <c r="I132" l="1"/>
  <c r="L17"/>
  <c r="I129" i="2"/>
  <c r="L17"/>
</calcChain>
</file>

<file path=xl/comments1.xml><?xml version="1.0" encoding="utf-8"?>
<comments xmlns="http://schemas.openxmlformats.org/spreadsheetml/2006/main">
  <authors>
    <author/>
  </authors>
  <commentList>
    <comment ref="D106" authorId="0">
      <text>
        <r>
          <rPr>
            <b/>
            <sz val="9"/>
            <color rgb="FF000000"/>
            <rFont val="Arial"/>
            <family val="2"/>
          </rPr>
          <t xml:space="preserve">Lennart Andersson:
</t>
        </r>
        <r>
          <rPr>
            <sz val="9"/>
            <color rgb="FF000000"/>
            <rFont val="Arial"/>
            <family val="2"/>
          </rPr>
          <t>10 kr/anmäld deltagare Se instruktion för Vårserien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00" authorId="0">
      <text>
        <r>
          <rPr>
            <b/>
            <sz val="9"/>
            <color rgb="FF000000"/>
            <rFont val="Arial"/>
            <family val="2"/>
          </rPr>
          <t xml:space="preserve">Lennart Andersson:
</t>
        </r>
        <r>
          <rPr>
            <sz val="9"/>
            <color rgb="FF000000"/>
            <rFont val="Arial"/>
            <family val="2"/>
          </rPr>
          <t>10 kr/anmäld deltagare Se instruktion för Vårserien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D100" authorId="0">
      <text>
        <r>
          <rPr>
            <b/>
            <sz val="9"/>
            <color rgb="FF000000"/>
            <rFont val="Arial"/>
            <family val="2"/>
          </rPr>
          <t xml:space="preserve">Lennart Andersson:
</t>
        </r>
        <r>
          <rPr>
            <sz val="9"/>
            <color rgb="FF000000"/>
            <rFont val="Arial"/>
            <family val="2"/>
          </rPr>
          <t>10 kr/anmäld deltagare Se instruktion för Vårserien</t>
        </r>
      </text>
    </comment>
  </commentList>
</comments>
</file>

<file path=xl/sharedStrings.xml><?xml version="1.0" encoding="utf-8"?>
<sst xmlns="http://schemas.openxmlformats.org/spreadsheetml/2006/main" count="1346" uniqueCount="381">
  <si>
    <t>Budget 2016</t>
  </si>
  <si>
    <t>Kommitté:</t>
  </si>
  <si>
    <t>Ungdomskommittén</t>
  </si>
  <si>
    <t>kkr</t>
  </si>
  <si>
    <t>Netto</t>
  </si>
  <si>
    <t>Budget</t>
  </si>
  <si>
    <t>Utfall</t>
  </si>
  <si>
    <t>Intäkter</t>
  </si>
  <si>
    <t>Unionsmatchen</t>
  </si>
  <si>
    <t>Götalandsmästerskap (GM)</t>
  </si>
  <si>
    <t>USM-läger</t>
  </si>
  <si>
    <t>USM</t>
  </si>
  <si>
    <t>Daladubbeln</t>
  </si>
  <si>
    <t>Vårserien/Närnattcup/Ungdomsserien</t>
  </si>
  <si>
    <r>
      <t>Sommarläger</t>
    </r>
    <r>
      <rPr>
        <sz val="8"/>
        <color theme="1"/>
        <rFont val="Arial"/>
        <family val="2"/>
      </rPr>
      <t xml:space="preserve"> (10-12 åringar)</t>
    </r>
  </si>
  <si>
    <t>Förs av idrottskläder/idrottsmaterial</t>
  </si>
  <si>
    <t>(Ränteintäkt från Ungdomsfonden)</t>
  </si>
  <si>
    <t>(Övrigt)</t>
  </si>
  <si>
    <t>Summa intäkter</t>
  </si>
  <si>
    <t>Kostnader</t>
  </si>
  <si>
    <t>Inköp kläder</t>
  </si>
  <si>
    <t>Kaffe och fika</t>
  </si>
  <si>
    <r>
      <t>Utmärkelser,medaljer &amp; plaketter</t>
    </r>
    <r>
      <rPr>
        <sz val="8"/>
        <color theme="1"/>
        <rFont val="Arial"/>
        <family val="2"/>
      </rPr>
      <t>(årets ungdom)</t>
    </r>
  </si>
  <si>
    <t>Kartkostnader</t>
  </si>
  <si>
    <t>Kostnad för priser till vårserien saknas i utfallet för 2016.</t>
  </si>
  <si>
    <t xml:space="preserve"> </t>
  </si>
  <si>
    <t>Övriga kostnader</t>
  </si>
  <si>
    <r>
      <t xml:space="preserve">Utbildning &amp; kostnader </t>
    </r>
    <r>
      <rPr>
        <sz val="8"/>
        <color theme="1"/>
        <rFont val="Arial"/>
        <family val="2"/>
      </rPr>
      <t>(unga ledare)</t>
    </r>
  </si>
  <si>
    <t>Summa kostnader</t>
  </si>
  <si>
    <t>Resultat *</t>
  </si>
  <si>
    <t>* Resultatet motsvaras av de budgeterade GOF-medel som kommittén tilldelas.</t>
  </si>
  <si>
    <t>BUDGETÄSKANDE 2017 U-grupp</t>
  </si>
  <si>
    <t>Vissa rader under Material/Övrigt samt raderna under dessa ingår inte i U-gruppens budgetäskande</t>
  </si>
  <si>
    <t>Princip: GOF bidrar med delar av resa, startavgifter</t>
  </si>
  <si>
    <t>Budget GOF</t>
  </si>
  <si>
    <t>Deltagare</t>
  </si>
  <si>
    <t>Deltagaravgift</t>
  </si>
  <si>
    <t>och kostnader för ledare.</t>
  </si>
  <si>
    <r>
      <t xml:space="preserve">AKTIVITET </t>
    </r>
    <r>
      <rPr>
        <b/>
        <sz val="16"/>
        <color rgb="FFFF0000"/>
        <rFont val="Arial"/>
        <family val="2"/>
      </rPr>
      <t>UM 26-28</t>
    </r>
    <r>
      <rPr>
        <b/>
        <i/>
        <sz val="16"/>
        <color rgb="FFFF0000"/>
        <rFont val="Arial"/>
        <family val="2"/>
      </rPr>
      <t xml:space="preserve"> maj i Halland</t>
    </r>
  </si>
  <si>
    <t>Konto</t>
  </si>
  <si>
    <t>Aktivitet</t>
  </si>
  <si>
    <t>Inkomster</t>
  </si>
  <si>
    <t>Utgifter</t>
  </si>
  <si>
    <t>Antal</t>
  </si>
  <si>
    <t>Resa till Varberg med buss</t>
  </si>
  <si>
    <t>Boende för chaufför(2 nätter)</t>
  </si>
  <si>
    <t xml:space="preserve">Mat/logi (36 st a  450 SEK)    </t>
  </si>
  <si>
    <t xml:space="preserve">Mat/logi ledare (6 st a  450 SEK)    </t>
  </si>
  <si>
    <t>Startavgifter, 36 löpare a 70 SEK * 2 starter + 500 SEK prispeng</t>
  </si>
  <si>
    <t>36 löpare som betalar 900 kronor var</t>
  </si>
  <si>
    <t>6 ledare som betalar 0kr</t>
  </si>
  <si>
    <t>Hyra brickor</t>
  </si>
  <si>
    <t>Beräknad kostnad</t>
  </si>
  <si>
    <t>Varav startavgifter/hyra</t>
  </si>
  <si>
    <r>
      <t xml:space="preserve">AKTIVITET </t>
    </r>
    <r>
      <rPr>
        <b/>
        <i/>
        <sz val="16"/>
        <color rgb="FFFF0000"/>
        <rFont val="Arial"/>
        <family val="2"/>
      </rPr>
      <t>Götalandsmästerskap 11-13 aug i Karlskrona (fred-sön)</t>
    </r>
  </si>
  <si>
    <t>Resa till tävling med buss</t>
  </si>
  <si>
    <t>Hotell chaufför (2 nätter)</t>
  </si>
  <si>
    <t>Mat/logi löpare 60 st * (  700kr)</t>
  </si>
  <si>
    <t>Mat/logi ledare 6 st</t>
  </si>
  <si>
    <t>Startavgifter 60* 65 kr/start* 3 starter)</t>
  </si>
  <si>
    <t>60 löpare (ungdomar) som betalar 1200 kronor var</t>
  </si>
  <si>
    <r>
      <t xml:space="preserve">AKTIVITET </t>
    </r>
    <r>
      <rPr>
        <b/>
        <i/>
        <sz val="16"/>
        <color rgb="FFFF0000"/>
        <rFont val="Arial"/>
        <family val="2"/>
      </rPr>
      <t>USM-läger i Bohuslän 6-8 maj</t>
    </r>
  </si>
  <si>
    <t>Resa till lägret/träningar med buss</t>
  </si>
  <si>
    <t>Logi löpare 40 st x 2 nätter   stuga</t>
  </si>
  <si>
    <t>Mat löpare 40st. x 250kr</t>
  </si>
  <si>
    <t>Logi ledare 4st (20kr natten x 2 nätter)</t>
  </si>
  <si>
    <t>Mat ledare 4st. x 250kr</t>
  </si>
  <si>
    <t>Träningspaket 45st. (175kr)</t>
  </si>
  <si>
    <t>40 löpare (ungdomar) som betalar 920 kronor var</t>
  </si>
  <si>
    <t>Ev. deltagare från annat distrikt.</t>
  </si>
  <si>
    <t>4 ledare som betalar 0 kr</t>
  </si>
  <si>
    <t>per deltagare</t>
  </si>
  <si>
    <r>
      <t xml:space="preserve">AKTIVITET </t>
    </r>
    <r>
      <rPr>
        <b/>
        <i/>
        <sz val="16"/>
        <color rgb="FFFF0000"/>
        <rFont val="Arial"/>
        <family val="2"/>
      </rPr>
      <t>USM 15-17 sept i Umeå (fre-sön)</t>
    </r>
  </si>
  <si>
    <t>Resa till Umeå med flyg   36 deltagare *1500 kr</t>
  </si>
  <si>
    <t>Gemensamma transporter i Umeå</t>
  </si>
  <si>
    <t>Frukost, logi för löpare 400kr/natt i två nätter 32 deltagare</t>
  </si>
  <si>
    <t>Frukost, logi för ledare  400kr/natt i två nätter 4 ledare</t>
  </si>
  <si>
    <t>Startavgifter sprint och lång inkl.  fältluncher samt middag fred. och lördag</t>
  </si>
  <si>
    <t>Startavgifter stafett 8 lag x 1000</t>
  </si>
  <si>
    <t>Ledarpaket, middag för 4st. ledare</t>
  </si>
  <si>
    <t>32 löpare (ungdomar) som betalar 2000 kronor var</t>
  </si>
  <si>
    <t>4 ledare som betalar 0kr</t>
  </si>
  <si>
    <t>Övrigt (subvention USM västar)</t>
  </si>
  <si>
    <t>8000+2400+1560=11960</t>
  </si>
  <si>
    <r>
      <t xml:space="preserve">AKTIVITET </t>
    </r>
    <r>
      <rPr>
        <b/>
        <i/>
        <sz val="16"/>
        <color rgb="FFFF0000"/>
        <rFont val="Arial"/>
        <family val="2"/>
      </rPr>
      <t>Daladubbeln 13-15 oktober</t>
    </r>
  </si>
  <si>
    <t>Ledarersättning (resa, kost, logi) 5 ledare</t>
  </si>
  <si>
    <t>Resa till Falun med buss</t>
  </si>
  <si>
    <t>Logi Falun</t>
  </si>
  <si>
    <t>Deltagarna betalar hela resan</t>
  </si>
  <si>
    <r>
      <t xml:space="preserve">AKTIVITET </t>
    </r>
    <r>
      <rPr>
        <b/>
        <i/>
        <sz val="16"/>
        <color rgb="FFFF0000"/>
        <rFont val="Arial"/>
        <family val="2"/>
      </rPr>
      <t>Material, övrigt</t>
    </r>
  </si>
  <si>
    <t>Novembermöte</t>
  </si>
  <si>
    <t>Fika möten</t>
  </si>
  <si>
    <t>?</t>
  </si>
  <si>
    <t>Material övrigt</t>
  </si>
  <si>
    <t>Ledarjackor nya ledare</t>
  </si>
  <si>
    <t>Ränteintäkt Ungdomsfond</t>
  </si>
  <si>
    <t>Pris till årets ungdom</t>
  </si>
  <si>
    <t>Övrigt</t>
  </si>
  <si>
    <t>SUMMA</t>
  </si>
  <si>
    <r>
      <t xml:space="preserve">AKTIVITET </t>
    </r>
    <r>
      <rPr>
        <b/>
        <i/>
        <sz val="16"/>
        <color rgb="FFFF0000"/>
        <rFont val="Arial"/>
        <family val="2"/>
      </rPr>
      <t>Vårserien/Närnattcup/Ungdomsserien</t>
    </r>
  </si>
  <si>
    <t>Plakettavgift</t>
  </si>
  <si>
    <t>Priser Vårserien, Närnattcup, Ungdomsserien</t>
  </si>
  <si>
    <t>1:a pris ungdomsserien (glass-check)</t>
  </si>
  <si>
    <r>
      <t xml:space="preserve">AKTIVITET </t>
    </r>
    <r>
      <rPr>
        <b/>
        <i/>
        <sz val="16"/>
        <color rgb="FFFF0000"/>
        <rFont val="Arial"/>
        <family val="2"/>
      </rPr>
      <t>Sommarläger</t>
    </r>
  </si>
  <si>
    <t>Deltagaravgifter  90*800</t>
  </si>
  <si>
    <t>Oförutsedda kostnader</t>
  </si>
  <si>
    <r>
      <t xml:space="preserve">AKTIVITET </t>
    </r>
    <r>
      <rPr>
        <b/>
        <i/>
        <sz val="16"/>
        <color rgb="FFFF0000"/>
        <rFont val="Arial"/>
        <family val="2"/>
      </rPr>
      <t>Utbildning</t>
    </r>
  </si>
  <si>
    <t>Utbildning (unga ledare)</t>
  </si>
  <si>
    <t>Ungaledarprojektet</t>
  </si>
  <si>
    <t>3175?</t>
  </si>
  <si>
    <t>Deltagaravgifterna faktureras klubbarna som själva avgör hur mycket de vill sponsra sina löpare.</t>
  </si>
  <si>
    <t>Årets ungdom utses av Ungdomsgruppen</t>
  </si>
  <si>
    <t>4175?</t>
  </si>
  <si>
    <t xml:space="preserve"> GOF betalar startavgift för GMOK och Tolered/Utby i ungdomsklassen i 10-mila. 10-milaföreningen återbetalar en startavgift.Den höga budgetkostnaden för 2015 inkluderar inköp av priser för ett antal år framöver för Ungdomsserien. Dock gjordes endast inköp för 2015.</t>
  </si>
  <si>
    <t>Grundprincipen har tidigare varit att Sommarläger inte skall vara en beräknad inkomst för Ungdomskommittén.</t>
  </si>
  <si>
    <r>
      <t xml:space="preserve">Utbildning &amp; konferenskostnader </t>
    </r>
    <r>
      <rPr>
        <sz val="8"/>
        <color theme="1"/>
        <rFont val="Arial"/>
        <family val="2"/>
      </rPr>
      <t>(Unga ledare)</t>
    </r>
  </si>
  <si>
    <t>Tänkt bidrag om någon/några Göteborgsungdomar går en utbildning som kan tillgodogöras distriktet</t>
  </si>
  <si>
    <t>GOF-gruppens träningar för 13-16 åringar bekostas av respektive arrangör.</t>
  </si>
  <si>
    <t>På 1-2 år sikt så har alla föreningar blivit belastade med ungefär samma kostnad.</t>
  </si>
  <si>
    <t>BUDGETÄSKANDE 2016 U-grupp</t>
  </si>
  <si>
    <r>
      <t xml:space="preserve">AKTIVITET </t>
    </r>
    <r>
      <rPr>
        <b/>
        <sz val="16"/>
        <color rgb="FFFF0000"/>
        <rFont val="Arial"/>
        <family val="2"/>
      </rPr>
      <t>UM 28-29</t>
    </r>
    <r>
      <rPr>
        <b/>
        <i/>
        <sz val="16"/>
        <color rgb="FFFF0000"/>
        <rFont val="Arial"/>
        <family val="2"/>
      </rPr>
      <t xml:space="preserve"> maj i Oslo och Akershus</t>
    </r>
  </si>
  <si>
    <t>Resa till Fossum? med buss (ingen mom pga utlandsresa)</t>
  </si>
  <si>
    <t>Här blev det tyvärr fel, skulle varit -3000</t>
  </si>
  <si>
    <t xml:space="preserve">Mat/logi (36 st a  450 NOK)    </t>
  </si>
  <si>
    <t xml:space="preserve">Mat/logi ledare (6 st a  450 NOK)    </t>
  </si>
  <si>
    <t>Startavgifter, 36 löpare a 70 NOK * 2 starter + 500 NOK prispeng</t>
  </si>
  <si>
    <t>36 löpare som betalar 885 kronor var</t>
  </si>
  <si>
    <t>Hyra brickor (20NOK/pinne) om Emit</t>
  </si>
  <si>
    <r>
      <t xml:space="preserve">AKTIVITET </t>
    </r>
    <r>
      <rPr>
        <b/>
        <i/>
        <sz val="16"/>
        <color rgb="FFFF0000"/>
        <rFont val="Arial"/>
        <family val="2"/>
      </rPr>
      <t>Götalandsmästerskap 12-14 aug i Varberg (fred-sön)</t>
    </r>
  </si>
  <si>
    <t>Mat/logi löpare 60 st * ( 2014 700kr)</t>
  </si>
  <si>
    <t>60 löpare (ungdomar) som betalar 1100 kronor var</t>
  </si>
  <si>
    <r>
      <t xml:space="preserve">AKTIVITET </t>
    </r>
    <r>
      <rPr>
        <b/>
        <i/>
        <sz val="16"/>
        <color rgb="FFFF0000"/>
        <rFont val="Arial"/>
        <family val="2"/>
      </rPr>
      <t>USM-läger ?? i Värmland</t>
    </r>
  </si>
  <si>
    <t>Resa till lägret/tävlingar med buss</t>
  </si>
  <si>
    <t>Logi löpare 45st x 2 nätter  Halden SK stuga</t>
  </si>
  <si>
    <t>Mat löpare 45st. x 250kr</t>
  </si>
  <si>
    <t>45 löpare (ungdomar) som betalar 920 kronor var</t>
  </si>
  <si>
    <r>
      <t xml:space="preserve">AKTIVITET </t>
    </r>
    <r>
      <rPr>
        <b/>
        <i/>
        <sz val="16"/>
        <color rgb="FFFF0000"/>
        <rFont val="Arial"/>
        <family val="2"/>
      </rPr>
      <t>USM 16-18 sept i Karlstad (fre-sön)</t>
    </r>
  </si>
  <si>
    <t xml:space="preserve">Resa till Karlstad med buss   </t>
  </si>
  <si>
    <t>Frukost, logi för löpare 400kr/natt i tre nätter</t>
  </si>
  <si>
    <t>Frukost, logi för ledare  400kr/natt i tre nätter</t>
  </si>
  <si>
    <t>32 löpare (ungdomar) som betalar 1500 kronor var</t>
  </si>
  <si>
    <r>
      <t xml:space="preserve">AKTIVITET </t>
    </r>
    <r>
      <rPr>
        <b/>
        <i/>
        <sz val="16"/>
        <color rgb="FFFF0000"/>
        <rFont val="Arial"/>
        <family val="2"/>
      </rPr>
      <t>Daladubbeln 15-16 oktober</t>
    </r>
  </si>
  <si>
    <t>Material övrigt ( + flaggor 2000 )</t>
  </si>
  <si>
    <t>3177/4177</t>
  </si>
  <si>
    <t>10-mila föreningens pris för främjande av nattorientering</t>
  </si>
  <si>
    <t>Deltagaravgifter  90*900</t>
  </si>
  <si>
    <t>Utbildning</t>
  </si>
  <si>
    <t>BUDGET 2008</t>
  </si>
  <si>
    <t>REV</t>
  </si>
  <si>
    <t>UTFALL 2008</t>
  </si>
  <si>
    <t>BUDGET 2009</t>
  </si>
  <si>
    <t>BUDGET 2009 GOF</t>
  </si>
  <si>
    <t>BUDGETÄSKANDE 2010 U-grupp</t>
  </si>
  <si>
    <t>BUDGETÄSKANDE 2011 U-grupp</t>
  </si>
  <si>
    <t>BUDGETÄSKANDE 2012 U-grupp</t>
  </si>
  <si>
    <t>BUDGETÄSKANDE 2013 U-grupp</t>
  </si>
  <si>
    <t>BUDGETÄSKANDE 2014 U-grupp</t>
  </si>
  <si>
    <t>BUDGETÄSKANDE 2015 U-grupp</t>
  </si>
  <si>
    <t>Princip: GOF betalar resa, startavgifter</t>
  </si>
  <si>
    <t>BUDGET</t>
  </si>
  <si>
    <t>Princip: GOF nya regler + prutning. April 2009</t>
  </si>
  <si>
    <t>och juniorledare</t>
  </si>
  <si>
    <t>och ledare</t>
  </si>
  <si>
    <t>Från Anders Spånér</t>
  </si>
  <si>
    <r>
      <t xml:space="preserve">AKTIVITET </t>
    </r>
    <r>
      <rPr>
        <b/>
        <i/>
        <sz val="16"/>
        <color rgb="FFFF0000"/>
        <rFont val="Arial"/>
        <family val="2"/>
      </rPr>
      <t>Unionsmatchen (31/5-1/6)</t>
    </r>
  </si>
  <si>
    <r>
      <t xml:space="preserve">AKTIVITET </t>
    </r>
    <r>
      <rPr>
        <b/>
        <i/>
        <sz val="16"/>
        <color rgb="FFFF0000"/>
        <rFont val="Arial"/>
        <family val="2"/>
      </rPr>
      <t>Unionsmatchen (fre-sö)</t>
    </r>
  </si>
  <si>
    <r>
      <t xml:space="preserve">AKTIVITET </t>
    </r>
    <r>
      <rPr>
        <b/>
        <i/>
        <sz val="16"/>
        <color rgb="FFFF0000"/>
        <rFont val="Arial"/>
        <family val="2"/>
      </rPr>
      <t>Unionsmatchen 5-6/6 i Kungsbacka (lör-sön)</t>
    </r>
  </si>
  <si>
    <r>
      <t xml:space="preserve">AKTIVITET </t>
    </r>
    <r>
      <rPr>
        <b/>
        <i/>
        <sz val="16"/>
        <color rgb="FFFF0000"/>
        <rFont val="Arial"/>
        <family val="2"/>
      </rPr>
      <t>Unionsmatchen 18-19/6 i Drammen Norge (fred.-sön)</t>
    </r>
  </si>
  <si>
    <r>
      <t xml:space="preserve">AKTIVITET </t>
    </r>
    <r>
      <rPr>
        <b/>
        <sz val="16"/>
        <color rgb="FFFF0000"/>
        <rFont val="Arial"/>
        <family val="2"/>
      </rPr>
      <t xml:space="preserve">UM </t>
    </r>
    <r>
      <rPr>
        <b/>
        <i/>
        <sz val="16"/>
        <color rgb="FFFF0000"/>
        <rFont val="Arial"/>
        <family val="2"/>
      </rPr>
      <t>9-10 juni i Bohuslän-Dal (lör.-sön)</t>
    </r>
  </si>
  <si>
    <r>
      <t xml:space="preserve">AKTIVITET </t>
    </r>
    <r>
      <rPr>
        <b/>
        <sz val="16"/>
        <color rgb="FFFF0000"/>
        <rFont val="Arial"/>
        <family val="2"/>
      </rPr>
      <t>UM 8-9</t>
    </r>
    <r>
      <rPr>
        <b/>
        <i/>
        <sz val="16"/>
        <color rgb="FFFF0000"/>
        <rFont val="Arial"/>
        <family val="2"/>
      </rPr>
      <t xml:space="preserve"> juni i Göteborg ( Frölunda ) (lör.-sön)</t>
    </r>
  </si>
  <si>
    <r>
      <t xml:space="preserve">AKTIVITET </t>
    </r>
    <r>
      <rPr>
        <b/>
        <sz val="16"/>
        <color rgb="FFFF0000"/>
        <rFont val="Arial"/>
        <family val="2"/>
      </rPr>
      <t>UM 30 maj-1</t>
    </r>
    <r>
      <rPr>
        <b/>
        <i/>
        <sz val="16"/>
        <color rgb="FFFF0000"/>
        <rFont val="Arial"/>
        <family val="2"/>
      </rPr>
      <t xml:space="preserve"> juni i Östfold Norge</t>
    </r>
  </si>
  <si>
    <r>
      <t xml:space="preserve">AKTIVITET </t>
    </r>
    <r>
      <rPr>
        <b/>
        <sz val="16"/>
        <color rgb="FFFF0000"/>
        <rFont val="Arial"/>
        <family val="2"/>
      </rPr>
      <t>UM 29-31</t>
    </r>
    <r>
      <rPr>
        <b/>
        <i/>
        <sz val="16"/>
        <color rgb="FFFF0000"/>
        <rFont val="Arial"/>
        <family val="2"/>
      </rPr>
      <t xml:space="preserve"> maj i Alingsås</t>
    </r>
  </si>
  <si>
    <t>Utfall: 29 löpare</t>
  </si>
  <si>
    <t xml:space="preserve">Resa till Trollhättan med buss (som inte stannar kvar)   </t>
  </si>
  <si>
    <t xml:space="preserve">Resa till Oslo med buss   </t>
  </si>
  <si>
    <t>Ta in offert</t>
  </si>
  <si>
    <t xml:space="preserve">Resa till xxxx med buss   </t>
  </si>
  <si>
    <t>Resa till Moss med buss   (ej moms pga utlanddestination)</t>
  </si>
  <si>
    <t>Resa till Alingsås med buss (Behöver vi ha buss?)</t>
  </si>
  <si>
    <t>Boende för chaufför (kanske)</t>
  </si>
  <si>
    <t>Boende för chaufför</t>
  </si>
  <si>
    <t xml:space="preserve">Mat/logi        </t>
  </si>
  <si>
    <t xml:space="preserve">Mat/logi (42 st a  500 SEK)    </t>
  </si>
  <si>
    <t xml:space="preserve">Mat/logi löpare (36 st a  400 SEK)    </t>
  </si>
  <si>
    <t xml:space="preserve">Mat/logi (36 st a  500 SEK)    </t>
  </si>
  <si>
    <t xml:space="preserve">Mat/logi ledare (6 st a  400 SEK)    </t>
  </si>
  <si>
    <t xml:space="preserve">Mat/logi ledare (6 st a  500 SEK)    </t>
  </si>
  <si>
    <t>Startavgifter, 36 löpare a 55 kr * 2 starter + 500 kr prispeng</t>
  </si>
  <si>
    <t>Startavgifter, 36 löpare a 65 kr * 2 starter + 600 kr prispeng</t>
  </si>
  <si>
    <r>
      <t xml:space="preserve">36 löpare som betalar 400 kronor var </t>
    </r>
    <r>
      <rPr>
        <sz val="10"/>
        <color rgb="FFFF0000"/>
        <rFont val="Arial"/>
        <family val="2"/>
      </rPr>
      <t>(Utfall 450 kr)</t>
    </r>
  </si>
  <si>
    <t>36 löpare som betalar 800 kronor var</t>
  </si>
  <si>
    <t>36 löpare som betalar 500 kronor var</t>
  </si>
  <si>
    <t>36 löpare (ungdomar) som betalar 500 kronor var</t>
  </si>
  <si>
    <t>36 löpare som betalar 1000 kronor var</t>
  </si>
  <si>
    <t>36 löpare som betalar 750 kronor var</t>
  </si>
  <si>
    <t>36 löpare som betalar 700 kronor var</t>
  </si>
  <si>
    <t>36 löpare som betalar 850 kronor var</t>
  </si>
  <si>
    <t>36 löpare som betalar 610 kronor var</t>
  </si>
  <si>
    <t>6 ledare som betalar 0kr.</t>
  </si>
  <si>
    <t>1400+5280+3000=9680</t>
  </si>
  <si>
    <t>OBS! Kronkursen gör budgeten osäker</t>
  </si>
  <si>
    <r>
      <t xml:space="preserve">AKTIVITET </t>
    </r>
    <r>
      <rPr>
        <b/>
        <i/>
        <sz val="16"/>
        <color rgb="FFFF0000"/>
        <rFont val="Arial"/>
        <family val="2"/>
      </rPr>
      <t>Götalandsmästerskap 9-10/8</t>
    </r>
  </si>
  <si>
    <r>
      <t xml:space="preserve">AKTIVITET </t>
    </r>
    <r>
      <rPr>
        <b/>
        <i/>
        <sz val="16"/>
        <color rgb="FFFF0000"/>
        <rFont val="Arial"/>
        <family val="2"/>
      </rPr>
      <t>Götalandsmästerskap 8-9/8 norra Halland (lö-sö)</t>
    </r>
  </si>
  <si>
    <r>
      <t xml:space="preserve">AKTIVITET </t>
    </r>
    <r>
      <rPr>
        <b/>
        <i/>
        <sz val="16"/>
        <color rgb="FFFF0000"/>
        <rFont val="Arial"/>
        <family val="2"/>
      </rPr>
      <t>Götalandsmästerskap 8-98 norra Halland (lö-sö)</t>
    </r>
  </si>
  <si>
    <r>
      <t xml:space="preserve">AKTIVITET </t>
    </r>
    <r>
      <rPr>
        <b/>
        <i/>
        <sz val="16"/>
        <color rgb="FFFF0000"/>
        <rFont val="Arial"/>
        <family val="2"/>
      </rPr>
      <t>Götalansmästerskap 14-15/8 i Skara/Lidköping (lör-sön)</t>
    </r>
  </si>
  <si>
    <r>
      <t xml:space="preserve">AKTIVITET </t>
    </r>
    <r>
      <rPr>
        <b/>
        <i/>
        <sz val="16"/>
        <color rgb="FFFF0000"/>
        <rFont val="Arial"/>
        <family val="2"/>
      </rPr>
      <t>Götalansmästerskap 13-14/8 i Göteborg (lör-sön)</t>
    </r>
  </si>
  <si>
    <r>
      <t xml:space="preserve">AKTIVITET </t>
    </r>
    <r>
      <rPr>
        <b/>
        <i/>
        <sz val="16"/>
        <color rgb="FFFF0000"/>
        <rFont val="Arial"/>
        <family val="2"/>
      </rPr>
      <t>Götalansmästerskap 10-12 aug i Boxholm, Östergötland (fred-sön)</t>
    </r>
  </si>
  <si>
    <r>
      <t xml:space="preserve">AKTIVITET </t>
    </r>
    <r>
      <rPr>
        <b/>
        <i/>
        <sz val="16"/>
        <color rgb="FFFF0000"/>
        <rFont val="Arial"/>
        <family val="2"/>
      </rPr>
      <t>Götalansmästerskap 17-18 aug på Fårö, Gottland (fred-sön)</t>
    </r>
  </si>
  <si>
    <r>
      <t xml:space="preserve">AKTIVITET </t>
    </r>
    <r>
      <rPr>
        <b/>
        <i/>
        <sz val="16"/>
        <color rgb="FFFF0000"/>
        <rFont val="Arial"/>
        <family val="2"/>
      </rPr>
      <t>Götalandsmästerskap 15-17 aug i Bengtsfors, Bohuslän-Dal (fred-sön)</t>
    </r>
  </si>
  <si>
    <r>
      <t xml:space="preserve">AKTIVITET </t>
    </r>
    <r>
      <rPr>
        <b/>
        <i/>
        <sz val="16"/>
        <color rgb="FFFF0000"/>
        <rFont val="Arial"/>
        <family val="2"/>
      </rPr>
      <t>Götalandsmästerskap 14-16 aug i Hässleholm, Skåne (fred-sön)</t>
    </r>
  </si>
  <si>
    <t>Utfall: 55 löpare</t>
  </si>
  <si>
    <t>Resa till Karlshamn, Blekinge (fredag-söndag)</t>
  </si>
  <si>
    <t>Inga resekostnader, samordnas av deltagare och klubbar</t>
  </si>
  <si>
    <t>Resa till tävling med buss &amp; båt (11360:-)</t>
  </si>
  <si>
    <t>Hotell chaufför (1 natt)</t>
  </si>
  <si>
    <t>Hotell chaufför (3 nätter)</t>
  </si>
  <si>
    <t>Mat/logi, 50 st * (mat 350 + logi 100)</t>
  </si>
  <si>
    <t>Mat/logi, 60 st * (mat 300 + logi 50)</t>
  </si>
  <si>
    <t>Mat/logi löpare 60 st * (mat 300 + logi 65)</t>
  </si>
  <si>
    <t>Mat/logi löpare 60 st * (mat  + logi 400)</t>
  </si>
  <si>
    <t>Mat/logi löpare 60 st * (2013 mat  445+ logi 220, 2014 700kr?)</t>
  </si>
  <si>
    <t>Mat/logi ledare 6 st * (mat 300 + logi 65)</t>
  </si>
  <si>
    <t>Mat/logi ledare 6 st *(mat  + logi 400)</t>
  </si>
  <si>
    <t>Startavgifter 45 * 55 kr/start* 2 starter)</t>
  </si>
  <si>
    <t>Startavgifter 54* 60 kr/start* 2 starter)</t>
  </si>
  <si>
    <t>Startavgifter 60* 65 kr/start* 2 starter)</t>
  </si>
  <si>
    <r>
      <t xml:space="preserve">45 löpare som betalar 500 kronor var </t>
    </r>
    <r>
      <rPr>
        <sz val="10"/>
        <color rgb="FFFF0000"/>
        <rFont val="Arial"/>
        <family val="2"/>
      </rPr>
      <t>(Utfall 600 kr)</t>
    </r>
  </si>
  <si>
    <t>54 löpare som betalar 400 kronor var</t>
  </si>
  <si>
    <t>54 löpare som betalar 350 kronor var</t>
  </si>
  <si>
    <t>60 löpare (ungdomar) som betalar 500 kronor var</t>
  </si>
  <si>
    <t>60 löpare (ungdomar) som betalar 600 kronor var</t>
  </si>
  <si>
    <t>60 löpare (ungdomar) som betalar 767 kronor var</t>
  </si>
  <si>
    <t>60 löpare (ungdomar) som betalar 1150 kronor var</t>
  </si>
  <si>
    <t xml:space="preserve">                                        </t>
  </si>
  <si>
    <t xml:space="preserve">    Mat på resan fredag kväll betalas av den tävlande</t>
  </si>
  <si>
    <t>7800+2190=9990kr</t>
  </si>
  <si>
    <r>
      <t xml:space="preserve">AKTIVITET </t>
    </r>
    <r>
      <rPr>
        <b/>
        <i/>
        <sz val="16"/>
        <color rgb="FFFF0000"/>
        <rFont val="Arial"/>
        <family val="2"/>
      </rPr>
      <t>USM-läger på våren (21-25/5)</t>
    </r>
  </si>
  <si>
    <r>
      <t xml:space="preserve">AKTIVITET </t>
    </r>
    <r>
      <rPr>
        <b/>
        <i/>
        <sz val="16"/>
        <color rgb="FFFF0000"/>
        <rFont val="Arial"/>
        <family val="2"/>
      </rPr>
      <t>USM-läger på våren (3 dagar), Löftan</t>
    </r>
  </si>
  <si>
    <r>
      <t xml:space="preserve">AKTIVITET </t>
    </r>
    <r>
      <rPr>
        <b/>
        <i/>
        <sz val="16"/>
        <color rgb="FFFF0000"/>
        <rFont val="Arial"/>
        <family val="2"/>
      </rPr>
      <t>USM-läger 26-30/5 i Örnsköldsvik (ons-sön)</t>
    </r>
  </si>
  <si>
    <r>
      <t xml:space="preserve">AKTIVITET </t>
    </r>
    <r>
      <rPr>
        <b/>
        <i/>
        <sz val="16"/>
        <color rgb="FFFF0000"/>
        <rFont val="Arial"/>
        <family val="2"/>
      </rPr>
      <t>USM-läger Dalsland</t>
    </r>
  </si>
  <si>
    <r>
      <t xml:space="preserve">AKTIVITET </t>
    </r>
    <r>
      <rPr>
        <b/>
        <i/>
        <sz val="16"/>
        <color rgb="FFFF0000"/>
        <rFont val="Arial"/>
        <family val="2"/>
      </rPr>
      <t>USM-läger 6-7 aug Smålandsstenar</t>
    </r>
  </si>
  <si>
    <r>
      <t xml:space="preserve">AKTIVITET </t>
    </r>
    <r>
      <rPr>
        <b/>
        <i/>
        <sz val="16"/>
        <color rgb="FFFF0000"/>
        <rFont val="Arial"/>
        <family val="2"/>
      </rPr>
      <t>USM-läger x - x maj Perstorp</t>
    </r>
  </si>
  <si>
    <r>
      <t xml:space="preserve">AKTIVITET </t>
    </r>
    <r>
      <rPr>
        <b/>
        <i/>
        <sz val="16"/>
        <color rgb="FFFF0000"/>
        <rFont val="Arial"/>
        <family val="2"/>
      </rPr>
      <t>USM-läger 8 - 10 maj i Köping</t>
    </r>
  </si>
  <si>
    <r>
      <t xml:space="preserve">AKTIVITET </t>
    </r>
    <r>
      <rPr>
        <b/>
        <i/>
        <sz val="16"/>
        <color rgb="FFFF0000"/>
        <rFont val="Arial"/>
        <family val="2"/>
      </rPr>
      <t>USM-läger 8 - 10 maj i Halden</t>
    </r>
  </si>
  <si>
    <t>Utfall: 24 löpare</t>
  </si>
  <si>
    <t>Resa  (Hälsingland, Söderhamn onsdag kväll-söndag)</t>
  </si>
  <si>
    <t>Resa  (4 minibussar som körs av ledare)</t>
  </si>
  <si>
    <t>Hotell chaufför (4 nätter/2)</t>
  </si>
  <si>
    <t>ingår ovan</t>
  </si>
  <si>
    <t>Hotell chaufför</t>
  </si>
  <si>
    <r>
      <t xml:space="preserve">Logi löpare 42st x 400kr  </t>
    </r>
    <r>
      <rPr>
        <sz val="10"/>
        <color rgb="FFFF0000"/>
        <rFont val="Arial"/>
        <family val="2"/>
      </rPr>
      <t>(47 x400)</t>
    </r>
  </si>
  <si>
    <t>Logi löpare 45st x 400kr</t>
  </si>
  <si>
    <t>Logi löpare 45st x 2 nätter x 20 kr + 600 per natt Arboga OK stuga</t>
  </si>
  <si>
    <t>Mat/logi</t>
  </si>
  <si>
    <t>Mat/logi (400/delt) 20 deltagare</t>
  </si>
  <si>
    <t>Mat/logi (700/delt)</t>
  </si>
  <si>
    <r>
      <t xml:space="preserve">Mat löpare 42st. x 500kr  </t>
    </r>
    <r>
      <rPr>
        <sz val="10"/>
        <color rgb="FFFF0000"/>
        <rFont val="Arial"/>
        <family val="2"/>
      </rPr>
      <t>(47x 500)</t>
    </r>
  </si>
  <si>
    <t>Logi ledare 3st (200kr natten x 4 nätter)</t>
  </si>
  <si>
    <t>Logi ledare 4st (200kr natten x 2 nätter)</t>
  </si>
  <si>
    <t>Mat ledare 3st. x 500kr</t>
  </si>
  <si>
    <r>
      <t xml:space="preserve">Träningspaket 45st. (175kr) </t>
    </r>
    <r>
      <rPr>
        <sz val="10"/>
        <color rgb="FFFF0000"/>
        <rFont val="Arial"/>
        <family val="2"/>
      </rPr>
      <t xml:space="preserve"> (50x 150)</t>
    </r>
  </si>
  <si>
    <r>
      <t xml:space="preserve">42 löpare (ungdomar) </t>
    </r>
    <r>
      <rPr>
        <sz val="10"/>
        <color rgb="FFFF0000"/>
        <rFont val="Arial"/>
        <family val="2"/>
      </rPr>
      <t>(39)</t>
    </r>
    <r>
      <rPr>
        <sz val="10"/>
        <color rgb="FF000000"/>
        <rFont val="Arial"/>
        <family val="2"/>
      </rPr>
      <t xml:space="preserve"> som betalar 1500 kronor var</t>
    </r>
  </si>
  <si>
    <t>45 löpare (ungdomar) som betalar 1000 kronor var</t>
  </si>
  <si>
    <t>45 löpare (ungdomar) som betalar 750 kronor var</t>
  </si>
  <si>
    <t>45 löpare (ungdomar) som betalar 830 kronor var</t>
  </si>
  <si>
    <t>45 löpare (ungdomar) som betalar 800 kronor var</t>
  </si>
  <si>
    <t>45 löpare (ungdomar) som betalar 880 kronor var</t>
  </si>
  <si>
    <t>Kartor med mera</t>
  </si>
  <si>
    <t>Kartor med mera (150 per delt)</t>
  </si>
  <si>
    <t>3 ledare som betalar 0 kr</t>
  </si>
  <si>
    <t>Eventuellt deltagare från Bohuslän betalar bussresa á 800kr</t>
  </si>
  <si>
    <t xml:space="preserve">   Delad buss med Halland (totalt ca 30000)</t>
  </si>
  <si>
    <t>BD 8 x 1775</t>
  </si>
  <si>
    <r>
      <t xml:space="preserve">AKTIVITET </t>
    </r>
    <r>
      <rPr>
        <b/>
        <i/>
        <sz val="16"/>
        <color rgb="FFFF0000"/>
        <rFont val="Arial"/>
        <family val="2"/>
      </rPr>
      <t>USM 20-21/9</t>
    </r>
  </si>
  <si>
    <r>
      <t xml:space="preserve">AKTIVITET </t>
    </r>
    <r>
      <rPr>
        <b/>
        <i/>
        <sz val="16"/>
        <color rgb="FFFF0000"/>
        <rFont val="Arial"/>
        <family val="2"/>
      </rPr>
      <t>USM 19-20/9, Löftan (fr-sö)</t>
    </r>
  </si>
  <si>
    <r>
      <t xml:space="preserve">AKTIVITET </t>
    </r>
    <r>
      <rPr>
        <b/>
        <i/>
        <sz val="16"/>
        <color rgb="FFFF0000"/>
        <rFont val="Arial"/>
        <family val="2"/>
      </rPr>
      <t>USM 27-29/8 i Örnsköldsvik (fre-sön)</t>
    </r>
  </si>
  <si>
    <r>
      <t xml:space="preserve">AKTIVITET </t>
    </r>
    <r>
      <rPr>
        <b/>
        <i/>
        <sz val="16"/>
        <color rgb="FFFF0000"/>
        <rFont val="Arial"/>
        <family val="2"/>
      </rPr>
      <t>USM 13-15/9 i Färgelanda (fre-sön)</t>
    </r>
  </si>
  <si>
    <r>
      <t xml:space="preserve">AKTIVITET </t>
    </r>
    <r>
      <rPr>
        <b/>
        <i/>
        <sz val="16"/>
        <color rgb="FFFF0000"/>
        <rFont val="Arial"/>
        <family val="2"/>
      </rPr>
      <t>USM 14-16 sept i Bredaryd, Småland (fre-sön)</t>
    </r>
  </si>
  <si>
    <r>
      <t xml:space="preserve">AKTIVITET </t>
    </r>
    <r>
      <rPr>
        <b/>
        <i/>
        <sz val="16"/>
        <color rgb="FFFF0000"/>
        <rFont val="Arial"/>
        <family val="2"/>
      </rPr>
      <t>USM 20-22 sept i Perstorp, Skåne (fre-sön)</t>
    </r>
  </si>
  <si>
    <r>
      <t xml:space="preserve">AKTIVITET </t>
    </r>
    <r>
      <rPr>
        <b/>
        <i/>
        <sz val="16"/>
        <color rgb="FFFF0000"/>
        <rFont val="Arial"/>
        <family val="2"/>
      </rPr>
      <t>USM 19-21 sept i Köping, Västmanland (fre-sön)</t>
    </r>
  </si>
  <si>
    <r>
      <t xml:space="preserve">AKTIVITET </t>
    </r>
    <r>
      <rPr>
        <b/>
        <i/>
        <sz val="16"/>
        <color rgb="FFFF0000"/>
        <rFont val="Arial"/>
        <family val="2"/>
      </rPr>
      <t>USM 10-13 sept i Sundsvall (to-sön)</t>
    </r>
  </si>
  <si>
    <t>Ursprunglig' efter en del prutningar.</t>
  </si>
  <si>
    <t>Ursprunglig efter en del prutningar.</t>
  </si>
  <si>
    <t>Utfall: 21 löpare</t>
  </si>
  <si>
    <t>Resa  (Hälsingland, Söderhamn fredag em-söndag)</t>
  </si>
  <si>
    <t xml:space="preserve">Resa till Örnsköldsvik med buss   </t>
  </si>
  <si>
    <t>32 000</t>
  </si>
  <si>
    <t xml:space="preserve">Resa till Högsäter med buss   </t>
  </si>
  <si>
    <t xml:space="preserve">Resa till Perstorp med buss   </t>
  </si>
  <si>
    <t xml:space="preserve">Resa till Köping med buss   </t>
  </si>
  <si>
    <t xml:space="preserve">Resa till Sundsvall med buss   </t>
  </si>
  <si>
    <t>Hotell chaufför (2 nätter/2)</t>
  </si>
  <si>
    <t>Mat övrigt, inkl logi/mat ledare</t>
  </si>
  <si>
    <t>Frukost, middag, inkl logi för löpare</t>
  </si>
  <si>
    <t>Frukost, logi för löpare 600kr x 32</t>
  </si>
  <si>
    <t>Frukost, logi för löpare 400kr/natt</t>
  </si>
  <si>
    <t>Startavgifter, inkl hårt logi och fältluncher</t>
  </si>
  <si>
    <t>Startavgifter, inkl.  fältluncher sprint, lång och stafett</t>
  </si>
  <si>
    <t>28 080</t>
  </si>
  <si>
    <t>Frukost, logi för ledare  600 x 4</t>
  </si>
  <si>
    <t>Frukost, logi för ledare  400kr/natt</t>
  </si>
  <si>
    <t>Frukost, fältlunch, middag, inkl. logi för ledare</t>
  </si>
  <si>
    <r>
      <t xml:space="preserve">20 löpare som betalar 900 kronor var </t>
    </r>
    <r>
      <rPr>
        <sz val="10"/>
        <color rgb="FFFF0000"/>
        <rFont val="Arial"/>
        <family val="2"/>
      </rPr>
      <t>(utfall 950 kr)</t>
    </r>
  </si>
  <si>
    <t>20 löpare som betalar 1000 kronor var</t>
  </si>
  <si>
    <t>32 löpare (ungdomar) som betalar 1000 kronor var</t>
  </si>
  <si>
    <t>Kostnad för kvällsfika (50% Halland, dras av på bussfakturan)</t>
  </si>
  <si>
    <t xml:space="preserve">    Mat på bussresa betalas av deltagarna</t>
  </si>
  <si>
    <t>Eventuellt medföljande förälder á 1500kr (resa, logi och mat)</t>
  </si>
  <si>
    <t>32 löpare (ungdomar) som betalar 1600 kronor var</t>
  </si>
  <si>
    <t>32 löpare (ungdomar) som betalar 2100 kronor var</t>
  </si>
  <si>
    <t>Eventuellt deltagare från Bohuslän á 800kr  (bussresa)</t>
  </si>
  <si>
    <t>15 400</t>
  </si>
  <si>
    <t xml:space="preserve">    Delad buss med Halland (totalt ca 25000)</t>
  </si>
  <si>
    <t>Startavgifter 32x520 kr inkl. fältlunch (sprint och lång)</t>
  </si>
  <si>
    <t>Startavgift  stafett 8x1000 inkl. fätlunch</t>
  </si>
  <si>
    <r>
      <t xml:space="preserve">AKTIVITET </t>
    </r>
    <r>
      <rPr>
        <b/>
        <i/>
        <sz val="16"/>
        <color rgb="FFFF0000"/>
        <rFont val="Arial"/>
        <family val="2"/>
      </rPr>
      <t>Daladubbeln</t>
    </r>
  </si>
  <si>
    <r>
      <t xml:space="preserve">AKTIVITET </t>
    </r>
    <r>
      <rPr>
        <b/>
        <i/>
        <sz val="16"/>
        <color rgb="FFFF0000"/>
        <rFont val="Arial"/>
        <family val="2"/>
      </rPr>
      <t>Daladubbeln 16-17/10 (lör-sön)</t>
    </r>
  </si>
  <si>
    <r>
      <t xml:space="preserve">AKTIVITET </t>
    </r>
    <r>
      <rPr>
        <b/>
        <i/>
        <sz val="16"/>
        <color rgb="FFFF0000"/>
        <rFont val="Arial"/>
        <family val="2"/>
      </rPr>
      <t>Daladubbeln 15-16/10 (lör-sön)</t>
    </r>
  </si>
  <si>
    <r>
      <t xml:space="preserve">AKTIVITET </t>
    </r>
    <r>
      <rPr>
        <b/>
        <i/>
        <sz val="16"/>
        <color rgb="FFFF0000"/>
        <rFont val="Arial"/>
        <family val="2"/>
      </rPr>
      <t>Daladubbeln 13-14 oktober med prel.resa ihop med Västergötland (lör-sön)</t>
    </r>
  </si>
  <si>
    <r>
      <t xml:space="preserve">AKTIVITET </t>
    </r>
    <r>
      <rPr>
        <b/>
        <i/>
        <sz val="16"/>
        <color rgb="FFFF0000"/>
        <rFont val="Arial"/>
        <family val="2"/>
      </rPr>
      <t>Daladubbeln 19-20 oktober med prel.resa ihop med Västergötland (lör-sön)</t>
    </r>
  </si>
  <si>
    <r>
      <t xml:space="preserve">AKTIVITET </t>
    </r>
    <r>
      <rPr>
        <b/>
        <i/>
        <sz val="16"/>
        <color rgb="FFFF0000"/>
        <rFont val="Arial"/>
        <family val="2"/>
      </rPr>
      <t>Daladubbeln 18-19 oktober</t>
    </r>
  </si>
  <si>
    <r>
      <t xml:space="preserve">AKTIVITET </t>
    </r>
    <r>
      <rPr>
        <b/>
        <i/>
        <sz val="16"/>
        <color rgb="FFFF0000"/>
        <rFont val="Arial"/>
        <family val="2"/>
      </rPr>
      <t>Daladubbeln 17-18 oktober</t>
    </r>
  </si>
  <si>
    <t>Ledarersättning (resa, kost, logi) 3 ledare</t>
  </si>
  <si>
    <r>
      <t xml:space="preserve">Ledarersättning (resa, kost, logi) </t>
    </r>
    <r>
      <rPr>
        <sz val="10"/>
        <color rgb="FFFF0000"/>
        <rFont val="Arial"/>
        <family val="2"/>
      </rPr>
      <t>1</t>
    </r>
    <r>
      <rPr>
        <sz val="11"/>
        <color rgb="FF000000"/>
        <rFont val="Calibri"/>
        <family val="2"/>
      </rPr>
      <t xml:space="preserve"> ledare</t>
    </r>
  </si>
  <si>
    <t>Ledarersättning (resa, kost, logi) 2 ledare</t>
  </si>
  <si>
    <t>Deltagarna betalar hela resan (arr. Västergötland)</t>
  </si>
  <si>
    <t>Ledarersättning (resa, kost, logi) 4 ledare</t>
  </si>
  <si>
    <t>minskat 2300 med bara 1 ledare</t>
  </si>
  <si>
    <r>
      <t xml:space="preserve">AKTIVITET </t>
    </r>
    <r>
      <rPr>
        <b/>
        <i/>
        <sz val="16"/>
        <color rgb="FFFF0000"/>
        <rFont val="Arial"/>
        <family val="2"/>
      </rPr>
      <t>Material</t>
    </r>
  </si>
  <si>
    <t>Utfall: 79 tröjor</t>
  </si>
  <si>
    <t>Inköp Distriktsjackor 50 st á 400 kr</t>
  </si>
  <si>
    <t>Inköp Tävlingströjer modell större 8 st á 400 kr</t>
  </si>
  <si>
    <t>GOF subventionerar tryck 100 kr/jacka</t>
  </si>
  <si>
    <t>minskat 4000</t>
  </si>
  <si>
    <t>Summa:</t>
  </si>
  <si>
    <t>Summa</t>
  </si>
  <si>
    <t>Budget 2018</t>
  </si>
  <si>
    <t>Kostnad för priser till vårserien saknas i utfallet för 2017</t>
  </si>
  <si>
    <t>Här kommer en budget för GOF-lägret nästa sommar. Siffrorna och uppställningen är baserad på uppgifterna från 2012 oh framåt</t>
  </si>
  <si>
    <t>Hestrastugan: läger A, 14-16/6 och läger B, 17/6 - 19/6: 45 + 45 = 90 deltagare</t>
  </si>
  <si>
    <t>Intäkter:</t>
  </si>
  <si>
    <t>90 * 950 kr = 85 500</t>
  </si>
  <si>
    <t>Utgifter:</t>
  </si>
  <si>
    <t>Lön, lägerchef &amp;#8211 6 dygn a 800 kr = 4 800 kr</t>
  </si>
  <si>
    <t>Lön, kökschef &amp;#8211 6 dygn a 800 kr = 4 800 kr</t>
  </si>
  <si>
    <t>Lön, chefsinstruktör &amp;#8211 6 dygn a 700 kr = 4 200 kr</t>
  </si>
  <si>
    <t>Lön, övriga &amp;#8211 7*6 dygn a 450 kr = 18 900 kr</t>
  </si>
  <si>
    <t>Administrationsavgifter: 1 300 kr</t>
  </si>
  <si>
    <t>Hyra: 14 000 kr</t>
  </si>
  <si>
    <t>Mat: 12 000 kr</t>
  </si>
  <si>
    <t>Kartfil, tryck, plastfickor och div ol-materiel: 4 000 kr</t>
  </si>
  <si>
    <t>Milersättning: 2 500 kr</t>
  </si>
  <si>
    <t>Resultat: 19 000 kr</t>
  </si>
  <si>
    <t>Eller ska den vara 900 kr?</t>
  </si>
  <si>
    <t>BUDGETÄSKANDE 2018 U-grupp</t>
  </si>
  <si>
    <t>Budg 2017</t>
  </si>
  <si>
    <r>
      <t xml:space="preserve">AKTIVITET </t>
    </r>
    <r>
      <rPr>
        <b/>
        <sz val="16"/>
        <color rgb="FFFF0000"/>
        <rFont val="Arial"/>
        <family val="2"/>
      </rPr>
      <t>UM maj (Norge) fre-sönd</t>
    </r>
  </si>
  <si>
    <t>Resa med buss</t>
  </si>
  <si>
    <t xml:space="preserve">Mat/logi (40 st a  450 SEK)    </t>
  </si>
  <si>
    <t>Startavgifter, 40 löpare a 70 SEK * 2 starter + 500 SEK prispeng</t>
  </si>
  <si>
    <t>40 löpare som betalar 1200 kronor var</t>
  </si>
  <si>
    <r>
      <t xml:space="preserve">AKTIVITET </t>
    </r>
    <r>
      <rPr>
        <b/>
        <i/>
        <sz val="16"/>
        <color rgb="FFFF0000"/>
        <rFont val="Arial"/>
        <family val="2"/>
      </rPr>
      <t>Götalandsmästerskap  aug i Eksjö (fred-sön)</t>
    </r>
  </si>
  <si>
    <t>Mat/logi löpare 50 st * (  700kr)</t>
  </si>
  <si>
    <t>Startavgifter 50* 65 kr/start* 3 starter)</t>
  </si>
  <si>
    <t>50 löpare (ungdomar) som betalar 1200 kronor var</t>
  </si>
  <si>
    <t>Startavigft två lag</t>
  </si>
  <si>
    <r>
      <t xml:space="preserve">AKTIVITET </t>
    </r>
    <r>
      <rPr>
        <b/>
        <i/>
        <sz val="16"/>
        <color rgb="FFFF0000"/>
        <rFont val="Arial"/>
        <family val="2"/>
      </rPr>
      <t>USM-läger</t>
    </r>
  </si>
  <si>
    <t>Resa till lägret, tåg/flyg</t>
  </si>
  <si>
    <t>Logi löpare 30 st x 2 nätter   stuga</t>
  </si>
  <si>
    <t>Mat löpare 30st. x 250kr</t>
  </si>
  <si>
    <t>Träningspaket 35st. (175kr)</t>
  </si>
  <si>
    <t>30 löpare (ungdomar) som betalar xx kronor var</t>
  </si>
  <si>
    <r>
      <t xml:space="preserve">AKTIVITET </t>
    </r>
    <r>
      <rPr>
        <b/>
        <i/>
        <sz val="16"/>
        <color rgb="FFFF0000"/>
        <rFont val="Arial"/>
        <family val="2"/>
      </rPr>
      <t>USM sept i Luleå (torsd-sön)</t>
    </r>
  </si>
  <si>
    <t>Resa med flyg   36 deltagare *1500 kr</t>
  </si>
  <si>
    <t>Gemensamma transporte i Luleå</t>
  </si>
  <si>
    <t>Frukost, logi för löpare 400kr/natt 36 deltagare</t>
  </si>
  <si>
    <t>Frukost, logi för ledare  400kr/natt  4 ledare</t>
  </si>
  <si>
    <t>36 löpare (ungdomar) som betalar 2000 kronor var</t>
  </si>
  <si>
    <t>Ledarjackor nya ledare + kompletteringar tävlingströjor</t>
  </si>
  <si>
    <r>
      <t xml:space="preserve">AKTIVITET </t>
    </r>
    <r>
      <rPr>
        <b/>
        <i/>
        <sz val="16"/>
        <color rgb="FFFF0000"/>
        <rFont val="Arial"/>
        <family val="2"/>
      </rPr>
      <t>Bagherastafetten O-ringen</t>
    </r>
  </si>
  <si>
    <t>Bagheerastafetten O-ringen</t>
  </si>
</sst>
</file>

<file path=xl/styles.xml><?xml version="1.0" encoding="utf-8"?>
<styleSheet xmlns="http://schemas.openxmlformats.org/spreadsheetml/2006/main">
  <numFmts count="6">
    <numFmt numFmtId="164" formatCode="[$-41D]#,##0"/>
    <numFmt numFmtId="165" formatCode="0.0"/>
    <numFmt numFmtId="166" formatCode="#,##0.0"/>
    <numFmt numFmtId="167" formatCode="0.000"/>
    <numFmt numFmtId="168" formatCode="[$-41D]General"/>
    <numFmt numFmtId="169" formatCode="#,##0.00&quot; &quot;[$kr-41D];[Red]&quot;-&quot;#,##0.00&quot; &quot;[$kr-41D]"/>
  </numFmts>
  <fonts count="34"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i/>
      <sz val="16"/>
      <color theme="1"/>
      <name val="Arial"/>
      <family val="2"/>
    </font>
    <font>
      <sz val="10"/>
      <color rgb="FF000000"/>
      <name val="Arial"/>
      <family val="2"/>
    </font>
    <font>
      <b/>
      <i/>
      <u/>
      <sz val="11"/>
      <color theme="1"/>
      <name val="Arial"/>
      <family val="2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3"/>
      <color rgb="FF000000"/>
      <name val="Arial"/>
      <family val="2"/>
    </font>
    <font>
      <b/>
      <u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8"/>
      <color theme="1"/>
      <name val="Arial"/>
      <family val="2"/>
    </font>
    <font>
      <i/>
      <sz val="10"/>
      <color rgb="FF000000"/>
      <name val="Arial"/>
      <family val="2"/>
    </font>
    <font>
      <i/>
      <sz val="11"/>
      <color rgb="FF000000"/>
      <name val="Arial"/>
      <family val="2"/>
    </font>
    <font>
      <sz val="9"/>
      <color rgb="FF000000"/>
      <name val="Arial"/>
      <family val="2"/>
    </font>
    <font>
      <b/>
      <sz val="18"/>
      <color rgb="FF000000"/>
      <name val="Arial"/>
      <family val="2"/>
    </font>
    <font>
      <b/>
      <sz val="16"/>
      <color rgb="FFFF0000"/>
      <name val="Arial"/>
      <family val="2"/>
    </font>
    <font>
      <b/>
      <i/>
      <sz val="16"/>
      <color rgb="FFFF0000"/>
      <name val="Arial"/>
      <family val="2"/>
    </font>
    <font>
      <b/>
      <sz val="14"/>
      <color rgb="FF000000"/>
      <name val="Arial"/>
      <family val="2"/>
    </font>
    <font>
      <sz val="10"/>
      <color rgb="FFFF0000"/>
      <name val="Arial"/>
      <family val="2"/>
    </font>
    <font>
      <sz val="10"/>
      <color rgb="FF0066CC"/>
      <name val="Arial"/>
      <family val="2"/>
    </font>
    <font>
      <b/>
      <sz val="9"/>
      <color rgb="FF000000"/>
      <name val="Arial"/>
      <family val="2"/>
    </font>
    <font>
      <sz val="10"/>
      <color rgb="FF666699"/>
      <name val="Arial"/>
      <family val="2"/>
    </font>
    <font>
      <b/>
      <sz val="10"/>
      <color rgb="FF666699"/>
      <name val="Arial"/>
      <family val="2"/>
    </font>
    <font>
      <b/>
      <sz val="11"/>
      <color rgb="FF666699"/>
      <name val="Arial"/>
      <family val="2"/>
    </font>
    <font>
      <sz val="11"/>
      <color rgb="FF666699"/>
      <name val="Arial"/>
      <family val="2"/>
    </font>
    <font>
      <sz val="10"/>
      <color rgb="FFFFFF00"/>
      <name val="Arial"/>
      <family val="2"/>
    </font>
    <font>
      <sz val="10"/>
      <color rgb="FF0000FF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8.8000000000000007"/>
      <color rgb="FF55555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99CC00"/>
        <bgColor rgb="FF99CC00"/>
      </patternFill>
    </fill>
    <fill>
      <patternFill patternType="solid">
        <fgColor rgb="FF3366FF"/>
        <bgColor rgb="FF3366FF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8">
    <xf numFmtId="0" fontId="0" fillId="0" borderId="0"/>
    <xf numFmtId="168" fontId="1" fillId="0" borderId="0"/>
    <xf numFmtId="168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168" fontId="4" fillId="0" borderId="0"/>
    <xf numFmtId="0" fontId="5" fillId="0" borderId="0"/>
    <xf numFmtId="169" fontId="5" fillId="0" borderId="0"/>
  </cellStyleXfs>
  <cellXfs count="227">
    <xf numFmtId="0" fontId="0" fillId="0" borderId="0" xfId="0"/>
    <xf numFmtId="168" fontId="6" fillId="0" borderId="0" xfId="1" applyFont="1" applyAlignment="1">
      <alignment horizontal="left"/>
    </xf>
    <xf numFmtId="168" fontId="1" fillId="0" borderId="0" xfId="1" applyBorder="1"/>
    <xf numFmtId="168" fontId="7" fillId="0" borderId="0" xfId="1" applyFont="1" applyAlignment="1">
      <alignment horizontal="center"/>
    </xf>
    <xf numFmtId="168" fontId="1" fillId="0" borderId="0" xfId="1"/>
    <xf numFmtId="168" fontId="7" fillId="0" borderId="0" xfId="1" applyFont="1" applyAlignment="1">
      <alignment horizontal="left"/>
    </xf>
    <xf numFmtId="168" fontId="8" fillId="0" borderId="0" xfId="1" applyFont="1" applyBorder="1"/>
    <xf numFmtId="168" fontId="8" fillId="0" borderId="0" xfId="1" applyFont="1" applyBorder="1" applyAlignment="1">
      <alignment horizontal="center"/>
    </xf>
    <xf numFmtId="168" fontId="1" fillId="0" borderId="0" xfId="1" applyAlignment="1">
      <alignment horizontal="left"/>
    </xf>
    <xf numFmtId="168" fontId="9" fillId="0" borderId="0" xfId="1" applyFont="1" applyBorder="1"/>
    <xf numFmtId="168" fontId="10" fillId="0" borderId="0" xfId="1" applyFont="1" applyAlignment="1">
      <alignment horizontal="center"/>
    </xf>
    <xf numFmtId="168" fontId="11" fillId="0" borderId="0" xfId="1" applyFont="1" applyBorder="1" applyAlignment="1">
      <alignment horizontal="left"/>
    </xf>
    <xf numFmtId="168" fontId="11" fillId="0" borderId="0" xfId="1" applyFont="1" applyBorder="1" applyAlignment="1">
      <alignment horizontal="right"/>
    </xf>
    <xf numFmtId="168" fontId="4" fillId="0" borderId="0" xfId="1" applyFont="1" applyBorder="1" applyAlignment="1">
      <alignment horizontal="center"/>
    </xf>
    <xf numFmtId="168" fontId="11" fillId="0" borderId="0" xfId="1" applyFont="1" applyAlignment="1">
      <alignment horizontal="left"/>
    </xf>
    <xf numFmtId="168" fontId="10" fillId="0" borderId="0" xfId="1" applyFont="1" applyBorder="1" applyAlignment="1">
      <alignment horizontal="center"/>
    </xf>
    <xf numFmtId="166" fontId="12" fillId="0" borderId="0" xfId="1" applyNumberFormat="1" applyFont="1" applyBorder="1"/>
    <xf numFmtId="166" fontId="2" fillId="0" borderId="0" xfId="1" applyNumberFormat="1" applyFont="1" applyBorder="1"/>
    <xf numFmtId="168" fontId="1" fillId="0" borderId="1" xfId="1" applyBorder="1" applyAlignment="1">
      <alignment horizontal="left"/>
    </xf>
    <xf numFmtId="168" fontId="1" fillId="0" borderId="1" xfId="1" applyBorder="1"/>
    <xf numFmtId="165" fontId="7" fillId="2" borderId="2" xfId="1" applyNumberFormat="1" applyFont="1" applyFill="1" applyBorder="1" applyAlignment="1">
      <alignment horizontal="center"/>
    </xf>
    <xf numFmtId="168" fontId="13" fillId="0" borderId="1" xfId="1" applyFont="1" applyBorder="1"/>
    <xf numFmtId="165" fontId="7" fillId="2" borderId="3" xfId="1" applyNumberFormat="1" applyFont="1" applyFill="1" applyBorder="1" applyAlignment="1">
      <alignment horizontal="center"/>
    </xf>
    <xf numFmtId="165" fontId="1" fillId="0" borderId="0" xfId="1" applyNumberFormat="1" applyBorder="1"/>
    <xf numFmtId="168" fontId="1" fillId="0" borderId="4" xfId="1" applyBorder="1" applyAlignment="1">
      <alignment horizontal="left"/>
    </xf>
    <xf numFmtId="168" fontId="1" fillId="0" borderId="4" xfId="1" applyBorder="1"/>
    <xf numFmtId="165" fontId="7" fillId="2" borderId="1" xfId="1" applyNumberFormat="1" applyFont="1" applyFill="1" applyBorder="1" applyAlignment="1">
      <alignment horizontal="center"/>
    </xf>
    <xf numFmtId="168" fontId="1" fillId="0" borderId="0" xfId="1" applyFont="1" applyBorder="1"/>
    <xf numFmtId="168" fontId="1" fillId="0" borderId="0" xfId="1" applyFont="1"/>
    <xf numFmtId="168" fontId="1" fillId="0" borderId="1" xfId="1" applyFont="1" applyBorder="1" applyAlignment="1">
      <alignment horizontal="left"/>
    </xf>
    <xf numFmtId="165" fontId="4" fillId="0" borderId="0" xfId="1" applyNumberFormat="1" applyFont="1" applyBorder="1" applyAlignment="1">
      <alignment horizontal="center"/>
    </xf>
    <xf numFmtId="166" fontId="1" fillId="0" borderId="0" xfId="1" applyNumberFormat="1" applyBorder="1"/>
    <xf numFmtId="165" fontId="15" fillId="0" borderId="0" xfId="1" applyNumberFormat="1" applyFont="1" applyBorder="1" applyAlignment="1">
      <alignment horizontal="center"/>
    </xf>
    <xf numFmtId="168" fontId="1" fillId="0" borderId="1" xfId="1" applyFont="1" applyBorder="1"/>
    <xf numFmtId="165" fontId="7" fillId="0" borderId="0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165" fontId="7" fillId="0" borderId="0" xfId="1" applyNumberFormat="1" applyFont="1" applyAlignment="1">
      <alignment horizontal="center"/>
    </xf>
    <xf numFmtId="166" fontId="11" fillId="0" borderId="0" xfId="1" applyNumberFormat="1" applyFont="1" applyBorder="1"/>
    <xf numFmtId="168" fontId="1" fillId="0" borderId="0" xfId="1" applyBorder="1" applyAlignment="1">
      <alignment horizontal="left"/>
    </xf>
    <xf numFmtId="168" fontId="11" fillId="0" borderId="0" xfId="1" applyFont="1"/>
    <xf numFmtId="168" fontId="2" fillId="0" borderId="0" xfId="1" applyFont="1" applyBorder="1"/>
    <xf numFmtId="168" fontId="1" fillId="0" borderId="0" xfId="1" applyFont="1" applyBorder="1" applyAlignment="1">
      <alignment horizontal="left"/>
    </xf>
    <xf numFmtId="166" fontId="16" fillId="0" borderId="0" xfId="1" applyNumberFormat="1" applyFont="1" applyBorder="1"/>
    <xf numFmtId="166" fontId="15" fillId="0" borderId="0" xfId="1" applyNumberFormat="1" applyFont="1" applyBorder="1"/>
    <xf numFmtId="166" fontId="7" fillId="0" borderId="0" xfId="1" applyNumberFormat="1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166" fontId="10" fillId="0" borderId="0" xfId="1" applyNumberFormat="1" applyFont="1" applyBorder="1" applyAlignment="1">
      <alignment horizontal="center"/>
    </xf>
    <xf numFmtId="168" fontId="11" fillId="0" borderId="5" xfId="1" applyFont="1" applyBorder="1" applyAlignment="1">
      <alignment horizontal="left"/>
    </xf>
    <xf numFmtId="168" fontId="1" fillId="0" borderId="6" xfId="1" applyBorder="1"/>
    <xf numFmtId="165" fontId="7" fillId="0" borderId="6" xfId="1" applyNumberFormat="1" applyFont="1" applyBorder="1" applyAlignment="1">
      <alignment horizontal="center"/>
    </xf>
    <xf numFmtId="165" fontId="2" fillId="0" borderId="6" xfId="1" applyNumberFormat="1" applyFont="1" applyBorder="1" applyAlignment="1">
      <alignment horizontal="center"/>
    </xf>
    <xf numFmtId="168" fontId="17" fillId="0" borderId="0" xfId="1" applyFont="1" applyBorder="1" applyAlignment="1">
      <alignment horizontal="left"/>
    </xf>
    <xf numFmtId="168" fontId="7" fillId="0" borderId="0" xfId="1" applyFont="1" applyBorder="1" applyAlignment="1">
      <alignment horizontal="center"/>
    </xf>
    <xf numFmtId="165" fontId="10" fillId="0" borderId="0" xfId="1" applyNumberFormat="1" applyFont="1" applyBorder="1" applyAlignment="1">
      <alignment horizontal="center"/>
    </xf>
    <xf numFmtId="168" fontId="11" fillId="0" borderId="0" xfId="1" applyFont="1" applyBorder="1"/>
    <xf numFmtId="168" fontId="18" fillId="0" borderId="0" xfId="1" applyFont="1" applyAlignment="1">
      <alignment horizontal="left"/>
    </xf>
    <xf numFmtId="168" fontId="1" fillId="0" borderId="0" xfId="1" applyAlignment="1">
      <alignment horizontal="center"/>
    </xf>
    <xf numFmtId="168" fontId="1" fillId="0" borderId="0" xfId="1" applyFont="1" applyAlignment="1">
      <alignment horizontal="left"/>
    </xf>
    <xf numFmtId="168" fontId="1" fillId="3" borderId="0" xfId="1" applyFont="1" applyFill="1"/>
    <xf numFmtId="168" fontId="1" fillId="4" borderId="0" xfId="1" applyFont="1" applyFill="1"/>
    <xf numFmtId="168" fontId="1" fillId="4" borderId="0" xfId="1" applyFill="1"/>
    <xf numFmtId="168" fontId="6" fillId="0" borderId="0" xfId="1" applyFont="1"/>
    <xf numFmtId="168" fontId="21" fillId="5" borderId="1" xfId="1" applyFont="1" applyFill="1" applyBorder="1"/>
    <xf numFmtId="168" fontId="21" fillId="0" borderId="1" xfId="1" applyFont="1" applyBorder="1"/>
    <xf numFmtId="168" fontId="21" fillId="0" borderId="1" xfId="1" applyFont="1" applyBorder="1" applyAlignment="1">
      <alignment horizontal="center"/>
    </xf>
    <xf numFmtId="164" fontId="1" fillId="3" borderId="0" xfId="1" applyNumberFormat="1" applyFont="1" applyFill="1"/>
    <xf numFmtId="168" fontId="1" fillId="4" borderId="1" xfId="1" applyFill="1" applyBorder="1"/>
    <xf numFmtId="168" fontId="1" fillId="5" borderId="4" xfId="1" applyFill="1" applyBorder="1"/>
    <xf numFmtId="164" fontId="1" fillId="0" borderId="1" xfId="1" applyNumberFormat="1" applyBorder="1" applyAlignment="1">
      <alignment horizontal="center"/>
    </xf>
    <xf numFmtId="164" fontId="22" fillId="6" borderId="4" xfId="1" applyNumberFormat="1" applyFont="1" applyFill="1" applyBorder="1" applyAlignment="1">
      <alignment horizontal="center"/>
    </xf>
    <xf numFmtId="168" fontId="1" fillId="5" borderId="4" xfId="1" applyFont="1" applyFill="1" applyBorder="1"/>
    <xf numFmtId="168" fontId="1" fillId="0" borderId="4" xfId="1" applyFont="1" applyBorder="1"/>
    <xf numFmtId="164" fontId="1" fillId="0" borderId="4" xfId="1" applyNumberFormat="1" applyBorder="1" applyAlignment="1">
      <alignment horizontal="center"/>
    </xf>
    <xf numFmtId="164" fontId="1" fillId="6" borderId="4" xfId="1" applyNumberFormat="1" applyFill="1" applyBorder="1" applyAlignment="1">
      <alignment horizontal="center"/>
    </xf>
    <xf numFmtId="168" fontId="1" fillId="5" borderId="1" xfId="1" applyFill="1" applyBorder="1"/>
    <xf numFmtId="164" fontId="1" fillId="5" borderId="4" xfId="1" applyNumberFormat="1" applyFont="1" applyFill="1" applyBorder="1"/>
    <xf numFmtId="164" fontId="1" fillId="5" borderId="1" xfId="1" applyNumberFormat="1" applyFont="1" applyFill="1" applyBorder="1"/>
    <xf numFmtId="168" fontId="1" fillId="5" borderId="1" xfId="1" applyFont="1" applyFill="1" applyBorder="1"/>
    <xf numFmtId="164" fontId="1" fillId="4" borderId="1" xfId="1" applyNumberFormat="1" applyFill="1" applyBorder="1"/>
    <xf numFmtId="168" fontId="1" fillId="0" borderId="7" xfId="1" applyFont="1" applyFill="1" applyBorder="1"/>
    <xf numFmtId="164" fontId="1" fillId="0" borderId="0" xfId="1" applyNumberFormat="1" applyAlignment="1">
      <alignment horizontal="center"/>
    </xf>
    <xf numFmtId="164" fontId="1" fillId="7" borderId="1" xfId="1" applyNumberFormat="1" applyFill="1" applyBorder="1"/>
    <xf numFmtId="164" fontId="1" fillId="4" borderId="0" xfId="1" applyNumberFormat="1" applyFill="1"/>
    <xf numFmtId="164" fontId="22" fillId="0" borderId="4" xfId="1" applyNumberFormat="1" applyFont="1" applyBorder="1" applyAlignment="1">
      <alignment horizontal="center"/>
    </xf>
    <xf numFmtId="168" fontId="23" fillId="5" borderId="4" xfId="1" applyFont="1" applyFill="1" applyBorder="1"/>
    <xf numFmtId="164" fontId="23" fillId="5" borderId="4" xfId="1" applyNumberFormat="1" applyFont="1" applyFill="1" applyBorder="1"/>
    <xf numFmtId="164" fontId="1" fillId="0" borderId="1" xfId="1" applyNumberFormat="1" applyFont="1" applyBorder="1" applyAlignment="1">
      <alignment horizontal="center"/>
    </xf>
    <xf numFmtId="168" fontId="23" fillId="5" borderId="1" xfId="1" applyFont="1" applyFill="1" applyBorder="1"/>
    <xf numFmtId="164" fontId="23" fillId="5" borderId="1" xfId="1" applyNumberFormat="1" applyFont="1" applyFill="1" applyBorder="1"/>
    <xf numFmtId="168" fontId="1" fillId="7" borderId="1" xfId="1" applyFill="1" applyBorder="1"/>
    <xf numFmtId="168" fontId="1" fillId="0" borderId="4" xfId="1" applyBorder="1" applyAlignment="1">
      <alignment horizontal="center"/>
    </xf>
    <xf numFmtId="168" fontId="22" fillId="6" borderId="4" xfId="1" applyFont="1" applyFill="1" applyBorder="1" applyAlignment="1">
      <alignment horizontal="center"/>
    </xf>
    <xf numFmtId="168" fontId="4" fillId="0" borderId="1" xfId="1" applyFont="1" applyBorder="1"/>
    <xf numFmtId="168" fontId="1" fillId="0" borderId="1" xfId="1" applyBorder="1" applyAlignment="1">
      <alignment horizontal="center"/>
    </xf>
    <xf numFmtId="168" fontId="4" fillId="0" borderId="1" xfId="1" applyFont="1" applyFill="1" applyBorder="1"/>
    <xf numFmtId="168" fontId="1" fillId="5" borderId="8" xfId="1" applyFill="1" applyBorder="1"/>
    <xf numFmtId="168" fontId="1" fillId="0" borderId="8" xfId="1" applyFont="1" applyBorder="1"/>
    <xf numFmtId="168" fontId="1" fillId="0" borderId="8" xfId="1" applyFont="1" applyBorder="1" applyAlignment="1">
      <alignment horizontal="center"/>
    </xf>
    <xf numFmtId="168" fontId="1" fillId="0" borderId="8" xfId="1" applyBorder="1" applyAlignment="1">
      <alignment horizontal="center"/>
    </xf>
    <xf numFmtId="168" fontId="23" fillId="5" borderId="8" xfId="1" applyFont="1" applyFill="1" applyBorder="1"/>
    <xf numFmtId="168" fontId="1" fillId="0" borderId="1" xfId="1" applyFont="1" applyBorder="1" applyAlignment="1">
      <alignment horizontal="center"/>
    </xf>
    <xf numFmtId="168" fontId="1" fillId="5" borderId="7" xfId="1" applyFill="1" applyBorder="1"/>
    <xf numFmtId="168" fontId="1" fillId="0" borderId="7" xfId="1" applyFont="1" applyBorder="1"/>
    <xf numFmtId="168" fontId="1" fillId="0" borderId="7" xfId="1" applyBorder="1" applyAlignment="1">
      <alignment horizontal="center"/>
    </xf>
    <xf numFmtId="168" fontId="1" fillId="0" borderId="8" xfId="1" applyBorder="1"/>
    <xf numFmtId="164" fontId="1" fillId="0" borderId="0" xfId="1" applyNumberFormat="1"/>
    <xf numFmtId="168" fontId="1" fillId="8" borderId="1" xfId="1" applyFill="1" applyBorder="1"/>
    <xf numFmtId="168" fontId="4" fillId="0" borderId="0" xfId="1" applyFont="1" applyAlignment="1">
      <alignment horizontal="center"/>
    </xf>
    <xf numFmtId="168" fontId="4" fillId="0" borderId="1" xfId="1" applyFont="1" applyBorder="1" applyAlignment="1">
      <alignment horizontal="center"/>
    </xf>
    <xf numFmtId="167" fontId="15" fillId="0" borderId="1" xfId="1" applyNumberFormat="1" applyFont="1" applyBorder="1" applyAlignment="1">
      <alignment horizontal="center"/>
    </xf>
    <xf numFmtId="168" fontId="4" fillId="0" borderId="4" xfId="1" applyFont="1" applyBorder="1" applyAlignment="1">
      <alignment horizontal="center"/>
    </xf>
    <xf numFmtId="166" fontId="1" fillId="0" borderId="0" xfId="1" applyNumberFormat="1" applyFont="1" applyBorder="1"/>
    <xf numFmtId="165" fontId="15" fillId="0" borderId="1" xfId="1" applyNumberFormat="1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167" fontId="4" fillId="0" borderId="1" xfId="1" applyNumberFormat="1" applyFont="1" applyBorder="1" applyAlignment="1">
      <alignment horizontal="center"/>
    </xf>
    <xf numFmtId="165" fontId="4" fillId="0" borderId="0" xfId="1" applyNumberFormat="1" applyFont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10" fillId="0" borderId="1" xfId="1" applyNumberFormat="1" applyFont="1" applyBorder="1" applyAlignment="1">
      <alignment horizontal="center"/>
    </xf>
    <xf numFmtId="168" fontId="10" fillId="0" borderId="1" xfId="1" applyFont="1" applyBorder="1" applyAlignment="1">
      <alignment horizontal="center"/>
    </xf>
    <xf numFmtId="167" fontId="10" fillId="0" borderId="1" xfId="1" applyNumberFormat="1" applyFont="1" applyBorder="1" applyAlignment="1">
      <alignment horizontal="center"/>
    </xf>
    <xf numFmtId="167" fontId="10" fillId="0" borderId="0" xfId="1" applyNumberFormat="1" applyFont="1" applyBorder="1" applyAlignment="1">
      <alignment horizontal="center"/>
    </xf>
    <xf numFmtId="165" fontId="10" fillId="0" borderId="6" xfId="1" applyNumberFormat="1" applyFont="1" applyBorder="1" applyAlignment="1">
      <alignment horizontal="center"/>
    </xf>
    <xf numFmtId="165" fontId="10" fillId="0" borderId="9" xfId="1" applyNumberFormat="1" applyFont="1" applyBorder="1" applyAlignment="1">
      <alignment horizontal="center"/>
    </xf>
    <xf numFmtId="165" fontId="2" fillId="0" borderId="0" xfId="1" applyNumberFormat="1" applyFont="1" applyBorder="1"/>
    <xf numFmtId="166" fontId="1" fillId="0" borderId="0" xfId="1" applyNumberFormat="1"/>
    <xf numFmtId="168" fontId="25" fillId="0" borderId="0" xfId="1" applyFont="1" applyBorder="1" applyAlignment="1">
      <alignment horizontal="center"/>
    </xf>
    <xf numFmtId="166" fontId="26" fillId="0" borderId="0" xfId="1" applyNumberFormat="1" applyFont="1" applyBorder="1" applyAlignment="1">
      <alignment horizontal="center"/>
    </xf>
    <xf numFmtId="166" fontId="27" fillId="0" borderId="0" xfId="1" applyNumberFormat="1" applyFont="1" applyBorder="1"/>
    <xf numFmtId="168" fontId="26" fillId="0" borderId="0" xfId="1" applyFont="1" applyBorder="1" applyAlignment="1">
      <alignment horizontal="center"/>
    </xf>
    <xf numFmtId="168" fontId="28" fillId="0" borderId="0" xfId="1" applyFont="1" applyBorder="1"/>
    <xf numFmtId="168" fontId="27" fillId="0" borderId="0" xfId="1" applyFont="1" applyBorder="1"/>
    <xf numFmtId="168" fontId="26" fillId="0" borderId="0" xfId="1" applyFont="1" applyAlignment="1">
      <alignment horizontal="center"/>
    </xf>
    <xf numFmtId="168" fontId="28" fillId="0" borderId="0" xfId="1" applyFont="1"/>
    <xf numFmtId="168" fontId="25" fillId="0" borderId="0" xfId="1" applyFont="1" applyAlignment="1">
      <alignment horizontal="center"/>
    </xf>
    <xf numFmtId="168" fontId="13" fillId="0" borderId="0" xfId="1" applyFont="1"/>
    <xf numFmtId="164" fontId="1" fillId="0" borderId="1" xfId="1" applyNumberFormat="1" applyBorder="1"/>
    <xf numFmtId="168" fontId="4" fillId="0" borderId="0" xfId="5"/>
    <xf numFmtId="168" fontId="4" fillId="0" borderId="0" xfId="5" applyAlignment="1">
      <alignment horizontal="center"/>
    </xf>
    <xf numFmtId="168" fontId="18" fillId="0" borderId="0" xfId="5" applyFont="1" applyAlignment="1">
      <alignment horizontal="left"/>
    </xf>
    <xf numFmtId="168" fontId="7" fillId="0" borderId="0" xfId="5" applyFont="1"/>
    <xf numFmtId="168" fontId="4" fillId="0" borderId="0" xfId="5" applyFont="1" applyAlignment="1">
      <alignment horizontal="left"/>
    </xf>
    <xf numFmtId="168" fontId="4" fillId="3" borderId="0" xfId="5" applyFont="1" applyFill="1"/>
    <xf numFmtId="168" fontId="4" fillId="4" borderId="0" xfId="5" applyFont="1" applyFill="1"/>
    <xf numFmtId="168" fontId="4" fillId="4" borderId="0" xfId="5" applyFill="1"/>
    <xf numFmtId="168" fontId="4" fillId="0" borderId="0" xfId="5" applyBorder="1"/>
    <xf numFmtId="168" fontId="6" fillId="0" borderId="0" xfId="5" applyFont="1"/>
    <xf numFmtId="168" fontId="21" fillId="5" borderId="1" xfId="5" applyFont="1" applyFill="1" applyBorder="1"/>
    <xf numFmtId="168" fontId="21" fillId="0" borderId="1" xfId="5" applyFont="1" applyBorder="1"/>
    <xf numFmtId="168" fontId="21" fillId="0" borderId="1" xfId="5" applyFont="1" applyBorder="1" applyAlignment="1">
      <alignment horizontal="center"/>
    </xf>
    <xf numFmtId="168" fontId="21" fillId="8" borderId="1" xfId="5" applyFont="1" applyFill="1" applyBorder="1"/>
    <xf numFmtId="168" fontId="4" fillId="4" borderId="1" xfId="5" applyFill="1" applyBorder="1"/>
    <xf numFmtId="168" fontId="4" fillId="5" borderId="4" xfId="5" applyFill="1" applyBorder="1"/>
    <xf numFmtId="168" fontId="4" fillId="0" borderId="4" xfId="5" applyFont="1" applyBorder="1"/>
    <xf numFmtId="164" fontId="4" fillId="0" borderId="1" xfId="5" applyNumberFormat="1" applyBorder="1" applyAlignment="1">
      <alignment horizontal="center"/>
    </xf>
    <xf numFmtId="164" fontId="4" fillId="0" borderId="4" xfId="5" applyNumberFormat="1" applyBorder="1" applyAlignment="1">
      <alignment horizontal="center"/>
    </xf>
    <xf numFmtId="168" fontId="29" fillId="5" borderId="4" xfId="5" applyFont="1" applyFill="1" applyBorder="1"/>
    <xf numFmtId="164" fontId="4" fillId="8" borderId="4" xfId="5" applyNumberFormat="1" applyFill="1" applyBorder="1" applyAlignment="1">
      <alignment horizontal="center"/>
    </xf>
    <xf numFmtId="164" fontId="4" fillId="6" borderId="4" xfId="5" applyNumberFormat="1" applyFill="1" applyBorder="1" applyAlignment="1">
      <alignment horizontal="center"/>
    </xf>
    <xf numFmtId="168" fontId="4" fillId="8" borderId="4" xfId="5" applyFont="1" applyFill="1" applyBorder="1"/>
    <xf numFmtId="164" fontId="23" fillId="5" borderId="4" xfId="5" applyNumberFormat="1" applyFont="1" applyFill="1" applyBorder="1"/>
    <xf numFmtId="164" fontId="22" fillId="6" borderId="4" xfId="5" applyNumberFormat="1" applyFont="1" applyFill="1" applyBorder="1" applyAlignment="1">
      <alignment horizontal="center"/>
    </xf>
    <xf numFmtId="168" fontId="4" fillId="5" borderId="4" xfId="5" applyFont="1" applyFill="1" applyBorder="1"/>
    <xf numFmtId="168" fontId="4" fillId="0" borderId="4" xfId="5" applyBorder="1"/>
    <xf numFmtId="168" fontId="4" fillId="0" borderId="1" xfId="5" applyFont="1" applyBorder="1"/>
    <xf numFmtId="164" fontId="23" fillId="5" borderId="1" xfId="5" applyNumberFormat="1" applyFont="1" applyFill="1" applyBorder="1"/>
    <xf numFmtId="168" fontId="4" fillId="5" borderId="1" xfId="5" applyFill="1" applyBorder="1"/>
    <xf numFmtId="164" fontId="4" fillId="8" borderId="4" xfId="5" applyNumberFormat="1" applyFont="1" applyFill="1" applyBorder="1"/>
    <xf numFmtId="164" fontId="4" fillId="5" borderId="4" xfId="5" applyNumberFormat="1" applyFont="1" applyFill="1" applyBorder="1"/>
    <xf numFmtId="168" fontId="29" fillId="5" borderId="1" xfId="5" applyFont="1" applyFill="1" applyBorder="1"/>
    <xf numFmtId="168" fontId="4" fillId="8" borderId="1" xfId="5" applyFont="1" applyFill="1" applyBorder="1"/>
    <xf numFmtId="164" fontId="4" fillId="8" borderId="1" xfId="5" applyNumberFormat="1" applyFont="1" applyFill="1" applyBorder="1"/>
    <xf numFmtId="164" fontId="4" fillId="5" borderId="1" xfId="5" applyNumberFormat="1" applyFont="1" applyFill="1" applyBorder="1"/>
    <xf numFmtId="168" fontId="4" fillId="0" borderId="1" xfId="5" applyBorder="1"/>
    <xf numFmtId="164" fontId="4" fillId="0" borderId="1" xfId="5" applyNumberFormat="1" applyFill="1" applyBorder="1" applyAlignment="1">
      <alignment horizontal="center"/>
    </xf>
    <xf numFmtId="168" fontId="4" fillId="0" borderId="0" xfId="5" applyFill="1" applyAlignment="1">
      <alignment horizontal="center"/>
    </xf>
    <xf numFmtId="168" fontId="22" fillId="0" borderId="1" xfId="5" applyFont="1" applyBorder="1"/>
    <xf numFmtId="168" fontId="4" fillId="5" borderId="1" xfId="5" applyFont="1" applyFill="1" applyBorder="1"/>
    <xf numFmtId="168" fontId="4" fillId="0" borderId="7" xfId="5" applyFont="1" applyFill="1" applyBorder="1"/>
    <xf numFmtId="168" fontId="4" fillId="0" borderId="1" xfId="5" applyBorder="1" applyAlignment="1">
      <alignment horizontal="center"/>
    </xf>
    <xf numFmtId="168" fontId="23" fillId="5" borderId="8" xfId="5" applyFont="1" applyFill="1" applyBorder="1"/>
    <xf numFmtId="164" fontId="4" fillId="4" borderId="1" xfId="5" applyNumberFormat="1" applyFill="1" applyBorder="1"/>
    <xf numFmtId="168" fontId="4" fillId="0" borderId="0" xfId="5" applyFont="1"/>
    <xf numFmtId="164" fontId="4" fillId="0" borderId="1" xfId="5" applyNumberFormat="1" applyBorder="1"/>
    <xf numFmtId="164" fontId="4" fillId="8" borderId="1" xfId="5" applyNumberFormat="1" applyFill="1" applyBorder="1"/>
    <xf numFmtId="164" fontId="4" fillId="0" borderId="0" xfId="5" applyNumberFormat="1" applyAlignment="1">
      <alignment horizontal="center"/>
    </xf>
    <xf numFmtId="164" fontId="4" fillId="4" borderId="0" xfId="5" applyNumberFormat="1" applyFill="1"/>
    <xf numFmtId="168" fontId="4" fillId="6" borderId="0" xfId="5" applyFill="1"/>
    <xf numFmtId="168" fontId="4" fillId="6" borderId="0" xfId="5" applyFill="1" applyAlignment="1">
      <alignment horizontal="center"/>
    </xf>
    <xf numFmtId="164" fontId="4" fillId="6" borderId="1" xfId="5" applyNumberFormat="1" applyFill="1" applyBorder="1"/>
    <xf numFmtId="168" fontId="23" fillId="5" borderId="4" xfId="5" applyFont="1" applyFill="1" applyBorder="1"/>
    <xf numFmtId="164" fontId="22" fillId="0" borderId="4" xfId="5" applyNumberFormat="1" applyFont="1" applyBorder="1" applyAlignment="1">
      <alignment horizontal="center"/>
    </xf>
    <xf numFmtId="164" fontId="4" fillId="0" borderId="1" xfId="5" applyNumberFormat="1" applyFont="1" applyBorder="1" applyAlignment="1">
      <alignment horizontal="center"/>
    </xf>
    <xf numFmtId="168" fontId="23" fillId="5" borderId="1" xfId="5" applyFont="1" applyFill="1" applyBorder="1"/>
    <xf numFmtId="168" fontId="4" fillId="8" borderId="1" xfId="5" applyFill="1" applyBorder="1"/>
    <xf numFmtId="168" fontId="4" fillId="8" borderId="0" xfId="5" applyFill="1" applyBorder="1"/>
    <xf numFmtId="168" fontId="4" fillId="0" borderId="4" xfId="5" applyBorder="1" applyAlignment="1">
      <alignment horizontal="center"/>
    </xf>
    <xf numFmtId="168" fontId="4" fillId="8" borderId="4" xfId="5" applyFill="1" applyBorder="1" applyAlignment="1">
      <alignment horizontal="center"/>
    </xf>
    <xf numFmtId="168" fontId="4" fillId="6" borderId="4" xfId="5" applyFill="1" applyBorder="1" applyAlignment="1">
      <alignment horizontal="center"/>
    </xf>
    <xf numFmtId="168" fontId="22" fillId="0" borderId="0" xfId="5" applyFont="1"/>
    <xf numFmtId="168" fontId="22" fillId="6" borderId="4" xfId="5" applyFont="1" applyFill="1" applyBorder="1" applyAlignment="1">
      <alignment horizontal="center"/>
    </xf>
    <xf numFmtId="168" fontId="4" fillId="0" borderId="1" xfId="5" applyFont="1" applyFill="1" applyBorder="1"/>
    <xf numFmtId="168" fontId="4" fillId="5" borderId="8" xfId="5" applyFill="1" applyBorder="1"/>
    <xf numFmtId="168" fontId="4" fillId="0" borderId="8" xfId="5" applyBorder="1"/>
    <xf numFmtId="168" fontId="4" fillId="0" borderId="8" xfId="5" applyBorder="1" applyAlignment="1">
      <alignment horizontal="center"/>
    </xf>
    <xf numFmtId="168" fontId="29" fillId="5" borderId="8" xfId="5" applyFont="1" applyFill="1" applyBorder="1"/>
    <xf numFmtId="168" fontId="4" fillId="8" borderId="8" xfId="5" applyFont="1" applyFill="1" applyBorder="1"/>
    <xf numFmtId="168" fontId="4" fillId="0" borderId="8" xfId="5" applyFont="1" applyBorder="1"/>
    <xf numFmtId="168" fontId="4" fillId="0" borderId="8" xfId="5" applyFont="1" applyBorder="1" applyAlignment="1">
      <alignment horizontal="center"/>
    </xf>
    <xf numFmtId="168" fontId="4" fillId="0" borderId="1" xfId="5" applyFont="1" applyBorder="1" applyAlignment="1">
      <alignment horizontal="center"/>
    </xf>
    <xf numFmtId="168" fontId="22" fillId="0" borderId="8" xfId="5" applyFont="1" applyBorder="1"/>
    <xf numFmtId="168" fontId="4" fillId="8" borderId="0" xfId="5" applyFill="1" applyAlignment="1">
      <alignment horizontal="center"/>
    </xf>
    <xf numFmtId="168" fontId="4" fillId="0" borderId="4" xfId="5" applyFont="1" applyBorder="1" applyAlignment="1">
      <alignment horizontal="center"/>
    </xf>
    <xf numFmtId="168" fontId="4" fillId="5" borderId="0" xfId="5" applyFill="1" applyBorder="1"/>
    <xf numFmtId="168" fontId="4" fillId="0" borderId="0" xfId="5" applyBorder="1" applyAlignment="1">
      <alignment horizontal="center"/>
    </xf>
    <xf numFmtId="168" fontId="29" fillId="5" borderId="10" xfId="5" applyFont="1" applyFill="1" applyBorder="1"/>
    <xf numFmtId="168" fontId="4" fillId="8" borderId="10" xfId="5" applyFont="1" applyFill="1" applyBorder="1"/>
    <xf numFmtId="168" fontId="23" fillId="5" borderId="10" xfId="5" applyFont="1" applyFill="1" applyBorder="1"/>
    <xf numFmtId="168" fontId="4" fillId="5" borderId="7" xfId="5" applyFill="1" applyBorder="1"/>
    <xf numFmtId="168" fontId="4" fillId="0" borderId="7" xfId="5" applyFont="1" applyBorder="1"/>
    <xf numFmtId="168" fontId="4" fillId="0" borderId="7" xfId="5" applyBorder="1" applyAlignment="1">
      <alignment horizontal="center"/>
    </xf>
    <xf numFmtId="168" fontId="23" fillId="5" borderId="7" xfId="5" applyFont="1" applyFill="1" applyBorder="1"/>
    <xf numFmtId="168" fontId="30" fillId="0" borderId="0" xfId="5" applyFont="1"/>
    <xf numFmtId="164" fontId="4" fillId="0" borderId="0" xfId="5" applyNumberFormat="1"/>
    <xf numFmtId="166" fontId="31" fillId="0" borderId="0" xfId="1" applyNumberFormat="1" applyFont="1" applyBorder="1"/>
    <xf numFmtId="168" fontId="32" fillId="0" borderId="1" xfId="1" applyFont="1" applyBorder="1"/>
    <xf numFmtId="168" fontId="32" fillId="0" borderId="4" xfId="1" applyFont="1" applyBorder="1"/>
    <xf numFmtId="0" fontId="33" fillId="0" borderId="0" xfId="0" applyFont="1"/>
  </cellXfs>
  <cellStyles count="8">
    <cellStyle name="Excel Built-in Normal" xfId="1"/>
    <cellStyle name="Excel Built-in Normal 1" xfId="2"/>
    <cellStyle name="Heading" xfId="3"/>
    <cellStyle name="Heading1" xfId="4"/>
    <cellStyle name="Normal" xfId="0" builtinId="0" customBuiltin="1"/>
    <cellStyle name="Normal 2" xfId="5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103320</xdr:colOff>
      <xdr:row>0</xdr:row>
      <xdr:rowOff>0</xdr:rowOff>
    </xdr:from>
    <xdr:ext cx="1033199" cy="865799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103320" y="0"/>
          <a:ext cx="1033199" cy="8657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F169"/>
  <sheetViews>
    <sheetView tabSelected="1" topLeftCell="A7" workbookViewId="0">
      <selection activeCell="L38" sqref="L38"/>
    </sheetView>
  </sheetViews>
  <sheetFormatPr defaultRowHeight="15.75"/>
  <cols>
    <col min="1" max="1" width="10.875" style="8" customWidth="1"/>
    <col min="2" max="2" width="37" style="4" customWidth="1"/>
    <col min="3" max="3" width="14" style="4" customWidth="1"/>
    <col min="4" max="4" width="14.25" style="4" customWidth="1"/>
    <col min="5" max="5" width="11.875" style="3" customWidth="1"/>
    <col min="6" max="6" width="14.75" style="4" customWidth="1"/>
    <col min="7" max="8" width="6.375" style="4" customWidth="1"/>
    <col min="9" max="9" width="7.625" style="4" customWidth="1"/>
    <col min="10" max="10" width="11.75" style="4" customWidth="1"/>
    <col min="11" max="256" width="9.25" style="4" customWidth="1"/>
    <col min="257" max="257" width="11.75" style="4" customWidth="1"/>
    <col min="258" max="258" width="35.875" style="4" customWidth="1"/>
    <col min="259" max="259" width="11.875" style="4" customWidth="1"/>
    <col min="260" max="260" width="10.125" style="4" customWidth="1"/>
    <col min="261" max="261" width="9.875" style="4" customWidth="1"/>
    <col min="262" max="263" width="6.375" style="4" customWidth="1"/>
    <col min="264" max="264" width="5.875" style="4" customWidth="1"/>
    <col min="265" max="265" width="16" style="4" customWidth="1"/>
    <col min="266" max="512" width="9.25" style="4" customWidth="1"/>
    <col min="513" max="513" width="11.75" style="4" customWidth="1"/>
    <col min="514" max="514" width="35.875" style="4" customWidth="1"/>
    <col min="515" max="515" width="11.875" style="4" customWidth="1"/>
    <col min="516" max="516" width="10.125" style="4" customWidth="1"/>
    <col min="517" max="517" width="9.875" style="4" customWidth="1"/>
    <col min="518" max="519" width="6.375" style="4" customWidth="1"/>
    <col min="520" max="520" width="5.875" style="4" customWidth="1"/>
    <col min="521" max="521" width="16" style="4" customWidth="1"/>
    <col min="522" max="768" width="9.25" style="4" customWidth="1"/>
    <col min="769" max="769" width="11.75" style="4" customWidth="1"/>
    <col min="770" max="770" width="35.875" style="4" customWidth="1"/>
    <col min="771" max="771" width="11.875" style="4" customWidth="1"/>
    <col min="772" max="772" width="10.125" style="4" customWidth="1"/>
    <col min="773" max="773" width="9.875" style="4" customWidth="1"/>
    <col min="774" max="775" width="6.375" style="4" customWidth="1"/>
    <col min="776" max="776" width="5.875" style="4" customWidth="1"/>
    <col min="777" max="777" width="16" style="4" customWidth="1"/>
    <col min="778" max="1020" width="9.25" style="4" customWidth="1"/>
    <col min="1021" max="1024" width="9.25" customWidth="1"/>
  </cols>
  <sheetData>
    <row r="1" spans="1:1020" ht="20.25">
      <c r="A1" s="1" t="s">
        <v>336</v>
      </c>
      <c r="B1" s="2"/>
      <c r="C1" s="2"/>
      <c r="D1" s="2"/>
      <c r="J1" s="2"/>
      <c r="K1" s="2"/>
      <c r="L1" s="2"/>
      <c r="M1" s="2"/>
      <c r="N1" s="2"/>
      <c r="O1" s="2"/>
    </row>
    <row r="2" spans="1:1020" ht="27" customHeight="1">
      <c r="A2" s="5" t="s">
        <v>1</v>
      </c>
      <c r="B2" s="6" t="s">
        <v>2</v>
      </c>
      <c r="C2" s="7" t="s">
        <v>3</v>
      </c>
      <c r="D2" s="6"/>
      <c r="F2" s="2"/>
      <c r="G2" s="2"/>
      <c r="H2" s="2"/>
      <c r="I2" s="2"/>
      <c r="J2" s="2" t="s">
        <v>4</v>
      </c>
      <c r="K2" s="2"/>
      <c r="L2" s="2"/>
      <c r="M2" s="2"/>
      <c r="N2" s="2"/>
      <c r="O2" s="2"/>
    </row>
    <row r="3" spans="1:1020" ht="18.95" customHeight="1">
      <c r="B3" s="9"/>
      <c r="C3" s="3" t="s">
        <v>5</v>
      </c>
      <c r="D3" s="10" t="s">
        <v>6</v>
      </c>
      <c r="E3" s="10" t="s">
        <v>5</v>
      </c>
      <c r="F3" s="11"/>
      <c r="G3" s="12"/>
      <c r="H3" s="3" t="s">
        <v>5</v>
      </c>
      <c r="I3" s="10" t="s">
        <v>6</v>
      </c>
      <c r="J3" s="10" t="s">
        <v>5</v>
      </c>
      <c r="K3" s="13"/>
      <c r="L3" s="13"/>
      <c r="M3" s="2"/>
      <c r="N3" s="2"/>
      <c r="O3" s="2"/>
    </row>
    <row r="4" spans="1:1020" ht="15" customHeight="1">
      <c r="A4" s="14" t="s">
        <v>7</v>
      </c>
      <c r="B4" s="2"/>
      <c r="C4" s="3">
        <v>2018</v>
      </c>
      <c r="D4" s="15">
        <v>2017</v>
      </c>
      <c r="E4" s="3">
        <v>2017</v>
      </c>
      <c r="F4" s="16"/>
      <c r="G4" s="17"/>
      <c r="H4" s="3">
        <v>2018</v>
      </c>
      <c r="I4" s="15">
        <v>2017</v>
      </c>
      <c r="J4" s="15">
        <v>2017</v>
      </c>
      <c r="K4" s="13"/>
      <c r="L4" s="13"/>
      <c r="M4" s="2"/>
      <c r="N4" s="2"/>
      <c r="O4" s="2"/>
    </row>
    <row r="5" spans="1:1020">
      <c r="A5" s="18">
        <v>3171</v>
      </c>
      <c r="B5" s="19" t="s">
        <v>8</v>
      </c>
      <c r="C5" s="20">
        <v>48</v>
      </c>
      <c r="D5" s="224">
        <v>52.2</v>
      </c>
      <c r="E5" s="20">
        <v>32.4</v>
      </c>
      <c r="F5" s="16"/>
      <c r="G5" s="17"/>
      <c r="H5" s="23">
        <f t="shared" ref="H5:J9" si="0">C5-C24</f>
        <v>-6.7999999999999972</v>
      </c>
      <c r="I5" s="23">
        <f t="shared" si="0"/>
        <v>-6.3329999999999984</v>
      </c>
      <c r="J5" s="23">
        <f t="shared" si="0"/>
        <v>-6</v>
      </c>
      <c r="K5" s="15"/>
      <c r="L5" s="15"/>
      <c r="M5" s="2"/>
      <c r="N5" s="2"/>
      <c r="O5" s="2"/>
    </row>
    <row r="6" spans="1:1020">
      <c r="A6" s="24">
        <v>3172</v>
      </c>
      <c r="B6" s="25" t="s">
        <v>9</v>
      </c>
      <c r="C6" s="26">
        <v>75</v>
      </c>
      <c r="D6" s="225">
        <v>65.28</v>
      </c>
      <c r="E6" s="26">
        <v>78</v>
      </c>
      <c r="F6" s="16"/>
      <c r="G6" s="17"/>
      <c r="H6" s="23">
        <f t="shared" si="0"/>
        <v>-8.9000000000000057</v>
      </c>
      <c r="I6" s="23">
        <f t="shared" si="0"/>
        <v>-7.8259999999999934</v>
      </c>
      <c r="J6" s="23">
        <f t="shared" si="0"/>
        <v>-7.9000000000000057</v>
      </c>
      <c r="K6" s="15"/>
      <c r="L6" s="15"/>
      <c r="M6" s="27"/>
      <c r="N6" s="27"/>
      <c r="O6" s="27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  <c r="JQ6" s="28"/>
      <c r="JR6" s="28"/>
      <c r="JS6" s="28"/>
      <c r="JT6" s="28"/>
      <c r="JU6" s="28"/>
      <c r="JV6" s="28"/>
      <c r="JW6" s="28"/>
      <c r="JX6" s="28"/>
      <c r="JY6" s="28"/>
      <c r="JZ6" s="28"/>
      <c r="KA6" s="28"/>
      <c r="KB6" s="28"/>
      <c r="KC6" s="28"/>
      <c r="KD6" s="28"/>
      <c r="KE6" s="28"/>
      <c r="KF6" s="28"/>
      <c r="KG6" s="28"/>
      <c r="KH6" s="28"/>
      <c r="KI6" s="28"/>
      <c r="KJ6" s="28"/>
      <c r="KK6" s="28"/>
      <c r="KL6" s="28"/>
      <c r="KM6" s="28"/>
      <c r="KN6" s="28"/>
      <c r="KO6" s="28"/>
      <c r="KP6" s="28"/>
      <c r="KQ6" s="28"/>
      <c r="KR6" s="28"/>
      <c r="KS6" s="28"/>
      <c r="KT6" s="28"/>
      <c r="KU6" s="28"/>
      <c r="KV6" s="28"/>
      <c r="KW6" s="28"/>
      <c r="KX6" s="28"/>
      <c r="KY6" s="28"/>
      <c r="KZ6" s="28"/>
      <c r="LA6" s="28"/>
      <c r="LB6" s="28"/>
      <c r="LC6" s="28"/>
      <c r="LD6" s="28"/>
      <c r="LE6" s="28"/>
      <c r="LF6" s="28"/>
      <c r="LG6" s="28"/>
      <c r="LH6" s="28"/>
      <c r="LI6" s="28"/>
      <c r="LJ6" s="28"/>
      <c r="LK6" s="28"/>
      <c r="LL6" s="28"/>
      <c r="LM6" s="28"/>
      <c r="LN6" s="28"/>
      <c r="LO6" s="28"/>
      <c r="LP6" s="28"/>
      <c r="LQ6" s="28"/>
      <c r="LR6" s="28"/>
      <c r="LS6" s="28"/>
      <c r="LT6" s="28"/>
      <c r="LU6" s="28"/>
      <c r="LV6" s="28"/>
      <c r="LW6" s="28"/>
      <c r="LX6" s="28"/>
      <c r="LY6" s="28"/>
      <c r="LZ6" s="28"/>
      <c r="MA6" s="28"/>
      <c r="MB6" s="28"/>
      <c r="MC6" s="28"/>
      <c r="MD6" s="28"/>
      <c r="ME6" s="28"/>
      <c r="MF6" s="28"/>
      <c r="MG6" s="28"/>
      <c r="MH6" s="28"/>
      <c r="MI6" s="28"/>
      <c r="MJ6" s="28"/>
      <c r="MK6" s="28"/>
      <c r="ML6" s="28"/>
      <c r="MM6" s="28"/>
      <c r="MN6" s="28"/>
      <c r="MO6" s="28"/>
      <c r="MP6" s="28"/>
      <c r="MQ6" s="28"/>
      <c r="MR6" s="28"/>
      <c r="MS6" s="28"/>
      <c r="MT6" s="28"/>
      <c r="MU6" s="28"/>
      <c r="MV6" s="28"/>
      <c r="MW6" s="28"/>
      <c r="MX6" s="28"/>
      <c r="MY6" s="28"/>
      <c r="MZ6" s="28"/>
      <c r="NA6" s="28"/>
      <c r="NB6" s="28"/>
      <c r="NC6" s="28"/>
      <c r="ND6" s="28"/>
      <c r="NE6" s="28"/>
      <c r="NF6" s="28"/>
      <c r="NG6" s="28"/>
      <c r="NH6" s="28"/>
      <c r="NI6" s="28"/>
      <c r="NJ6" s="28"/>
      <c r="NK6" s="28"/>
      <c r="NL6" s="28"/>
      <c r="NM6" s="28"/>
      <c r="NN6" s="28"/>
      <c r="NO6" s="28"/>
      <c r="NP6" s="28"/>
      <c r="NQ6" s="28"/>
      <c r="NR6" s="28"/>
      <c r="NS6" s="28"/>
      <c r="NT6" s="28"/>
      <c r="NU6" s="28"/>
      <c r="NV6" s="28"/>
      <c r="NW6" s="28"/>
      <c r="NX6" s="28"/>
      <c r="NY6" s="28"/>
      <c r="NZ6" s="28"/>
      <c r="OA6" s="28"/>
      <c r="OB6" s="28"/>
      <c r="OC6" s="28"/>
      <c r="OD6" s="28"/>
      <c r="OE6" s="28"/>
      <c r="OF6" s="28"/>
      <c r="OG6" s="28"/>
      <c r="OH6" s="28"/>
      <c r="OI6" s="28"/>
      <c r="OJ6" s="28"/>
      <c r="OK6" s="28"/>
      <c r="OL6" s="28"/>
      <c r="OM6" s="28"/>
      <c r="ON6" s="28"/>
      <c r="OO6" s="28"/>
      <c r="OP6" s="28"/>
      <c r="OQ6" s="28"/>
      <c r="OR6" s="28"/>
      <c r="OS6" s="28"/>
      <c r="OT6" s="28"/>
      <c r="OU6" s="28"/>
      <c r="OV6" s="28"/>
      <c r="OW6" s="28"/>
      <c r="OX6" s="28"/>
      <c r="OY6" s="28"/>
      <c r="OZ6" s="28"/>
      <c r="PA6" s="28"/>
      <c r="PB6" s="28"/>
      <c r="PC6" s="28"/>
      <c r="PD6" s="28"/>
      <c r="PE6" s="28"/>
      <c r="PF6" s="28"/>
      <c r="PG6" s="28"/>
      <c r="PH6" s="28"/>
      <c r="PI6" s="28"/>
      <c r="PJ6" s="28"/>
      <c r="PK6" s="28"/>
      <c r="PL6" s="28"/>
      <c r="PM6" s="28"/>
      <c r="PN6" s="28"/>
      <c r="PO6" s="28"/>
      <c r="PP6" s="28"/>
      <c r="PQ6" s="28"/>
      <c r="PR6" s="28"/>
      <c r="PS6" s="28"/>
      <c r="PT6" s="28"/>
      <c r="PU6" s="28"/>
      <c r="PV6" s="28"/>
      <c r="PW6" s="28"/>
      <c r="PX6" s="28"/>
      <c r="PY6" s="28"/>
      <c r="PZ6" s="28"/>
      <c r="QA6" s="28"/>
      <c r="QB6" s="28"/>
      <c r="QC6" s="28"/>
      <c r="QD6" s="28"/>
      <c r="QE6" s="28"/>
      <c r="QF6" s="28"/>
      <c r="QG6" s="28"/>
      <c r="QH6" s="28"/>
      <c r="QI6" s="28"/>
      <c r="QJ6" s="28"/>
      <c r="QK6" s="28"/>
      <c r="QL6" s="28"/>
      <c r="QM6" s="28"/>
      <c r="QN6" s="28"/>
      <c r="QO6" s="28"/>
      <c r="QP6" s="28"/>
      <c r="QQ6" s="28"/>
      <c r="QR6" s="28"/>
      <c r="QS6" s="28"/>
      <c r="QT6" s="28"/>
      <c r="QU6" s="28"/>
      <c r="QV6" s="28"/>
      <c r="QW6" s="28"/>
      <c r="QX6" s="28"/>
      <c r="QY6" s="28"/>
      <c r="QZ6" s="28"/>
      <c r="RA6" s="28"/>
      <c r="RB6" s="28"/>
      <c r="RC6" s="28"/>
      <c r="RD6" s="28"/>
      <c r="RE6" s="28"/>
      <c r="RF6" s="28"/>
      <c r="RG6" s="28"/>
      <c r="RH6" s="28"/>
      <c r="RI6" s="28"/>
      <c r="RJ6" s="28"/>
      <c r="RK6" s="28"/>
      <c r="RL6" s="28"/>
      <c r="RM6" s="28"/>
      <c r="RN6" s="28"/>
      <c r="RO6" s="28"/>
      <c r="RP6" s="28"/>
      <c r="RQ6" s="28"/>
      <c r="RR6" s="28"/>
      <c r="RS6" s="28"/>
      <c r="RT6" s="28"/>
      <c r="RU6" s="28"/>
      <c r="RV6" s="28"/>
      <c r="RW6" s="28"/>
      <c r="RX6" s="28"/>
      <c r="RY6" s="28"/>
      <c r="RZ6" s="28"/>
      <c r="SA6" s="28"/>
      <c r="SB6" s="28"/>
      <c r="SC6" s="28"/>
      <c r="SD6" s="28"/>
      <c r="SE6" s="28"/>
      <c r="SF6" s="28"/>
      <c r="SG6" s="28"/>
      <c r="SH6" s="28"/>
      <c r="SI6" s="28"/>
      <c r="SJ6" s="28"/>
      <c r="SK6" s="28"/>
      <c r="SL6" s="28"/>
      <c r="SM6" s="28"/>
      <c r="SN6" s="28"/>
      <c r="SO6" s="28"/>
      <c r="SP6" s="28"/>
      <c r="SQ6" s="28"/>
      <c r="SR6" s="28"/>
      <c r="SS6" s="28"/>
      <c r="ST6" s="28"/>
      <c r="SU6" s="28"/>
      <c r="SV6" s="28"/>
      <c r="SW6" s="28"/>
      <c r="SX6" s="28"/>
      <c r="SY6" s="28"/>
      <c r="SZ6" s="28"/>
      <c r="TA6" s="28"/>
      <c r="TB6" s="28"/>
      <c r="TC6" s="28"/>
      <c r="TD6" s="28"/>
      <c r="TE6" s="28"/>
      <c r="TF6" s="28"/>
      <c r="TG6" s="28"/>
      <c r="TH6" s="28"/>
      <c r="TI6" s="28"/>
      <c r="TJ6" s="28"/>
      <c r="TK6" s="28"/>
      <c r="TL6" s="28"/>
      <c r="TM6" s="28"/>
      <c r="TN6" s="28"/>
      <c r="TO6" s="28"/>
      <c r="TP6" s="28"/>
      <c r="TQ6" s="28"/>
      <c r="TR6" s="28"/>
      <c r="TS6" s="28"/>
      <c r="TT6" s="28"/>
      <c r="TU6" s="28"/>
      <c r="TV6" s="28"/>
      <c r="TW6" s="28"/>
      <c r="TX6" s="28"/>
      <c r="TY6" s="28"/>
      <c r="TZ6" s="28"/>
      <c r="UA6" s="28"/>
      <c r="UB6" s="28"/>
      <c r="UC6" s="28"/>
      <c r="UD6" s="28"/>
      <c r="UE6" s="28"/>
      <c r="UF6" s="28"/>
      <c r="UG6" s="28"/>
      <c r="UH6" s="28"/>
      <c r="UI6" s="28"/>
      <c r="UJ6" s="28"/>
      <c r="UK6" s="28"/>
      <c r="UL6" s="28"/>
      <c r="UM6" s="28"/>
      <c r="UN6" s="28"/>
      <c r="UO6" s="28"/>
      <c r="UP6" s="28"/>
      <c r="UQ6" s="28"/>
      <c r="UR6" s="28"/>
      <c r="US6" s="28"/>
      <c r="UT6" s="28"/>
      <c r="UU6" s="28"/>
      <c r="UV6" s="28"/>
      <c r="UW6" s="28"/>
      <c r="UX6" s="28"/>
      <c r="UY6" s="28"/>
      <c r="UZ6" s="28"/>
      <c r="VA6" s="28"/>
      <c r="VB6" s="28"/>
      <c r="VC6" s="28"/>
      <c r="VD6" s="28"/>
      <c r="VE6" s="28"/>
      <c r="VF6" s="28"/>
      <c r="VG6" s="28"/>
      <c r="VH6" s="28"/>
      <c r="VI6" s="28"/>
      <c r="VJ6" s="28"/>
      <c r="VK6" s="28"/>
      <c r="VL6" s="28"/>
      <c r="VM6" s="28"/>
      <c r="VN6" s="28"/>
      <c r="VO6" s="28"/>
      <c r="VP6" s="28"/>
      <c r="VQ6" s="28"/>
      <c r="VR6" s="28"/>
      <c r="VS6" s="28"/>
      <c r="VT6" s="28"/>
      <c r="VU6" s="28"/>
      <c r="VV6" s="28"/>
      <c r="VW6" s="28"/>
      <c r="VX6" s="28"/>
      <c r="VY6" s="28"/>
      <c r="VZ6" s="28"/>
      <c r="WA6" s="28"/>
      <c r="WB6" s="28"/>
      <c r="WC6" s="28"/>
      <c r="WD6" s="28"/>
      <c r="WE6" s="28"/>
      <c r="WF6" s="28"/>
      <c r="WG6" s="28"/>
      <c r="WH6" s="28"/>
      <c r="WI6" s="28"/>
      <c r="WJ6" s="28"/>
      <c r="WK6" s="28"/>
      <c r="WL6" s="28"/>
      <c r="WM6" s="28"/>
      <c r="WN6" s="28"/>
      <c r="WO6" s="28"/>
      <c r="WP6" s="28"/>
      <c r="WQ6" s="28"/>
      <c r="WR6" s="28"/>
      <c r="WS6" s="28"/>
      <c r="WT6" s="28"/>
      <c r="WU6" s="28"/>
      <c r="WV6" s="28"/>
      <c r="WW6" s="28"/>
      <c r="WX6" s="28"/>
      <c r="WY6" s="28"/>
      <c r="WZ6" s="28"/>
      <c r="XA6" s="28"/>
      <c r="XB6" s="28"/>
      <c r="XC6" s="28"/>
      <c r="XD6" s="28"/>
      <c r="XE6" s="28"/>
      <c r="XF6" s="28"/>
      <c r="XG6" s="28"/>
      <c r="XH6" s="28"/>
      <c r="XI6" s="28"/>
      <c r="XJ6" s="28"/>
      <c r="XK6" s="28"/>
      <c r="XL6" s="28"/>
      <c r="XM6" s="28"/>
      <c r="XN6" s="28"/>
      <c r="XO6" s="28"/>
      <c r="XP6" s="28"/>
      <c r="XQ6" s="28"/>
      <c r="XR6" s="28"/>
      <c r="XS6" s="28"/>
      <c r="XT6" s="28"/>
      <c r="XU6" s="28"/>
      <c r="XV6" s="28"/>
      <c r="XW6" s="28"/>
      <c r="XX6" s="28"/>
      <c r="XY6" s="28"/>
      <c r="XZ6" s="28"/>
      <c r="YA6" s="28"/>
      <c r="YB6" s="28"/>
      <c r="YC6" s="28"/>
      <c r="YD6" s="28"/>
      <c r="YE6" s="28"/>
      <c r="YF6" s="28"/>
      <c r="YG6" s="28"/>
      <c r="YH6" s="28"/>
      <c r="YI6" s="28"/>
      <c r="YJ6" s="28"/>
      <c r="YK6" s="28"/>
      <c r="YL6" s="28"/>
      <c r="YM6" s="28"/>
      <c r="YN6" s="28"/>
      <c r="YO6" s="28"/>
      <c r="YP6" s="28"/>
      <c r="YQ6" s="28"/>
      <c r="YR6" s="28"/>
      <c r="YS6" s="28"/>
      <c r="YT6" s="28"/>
      <c r="YU6" s="28"/>
      <c r="YV6" s="28"/>
      <c r="YW6" s="28"/>
      <c r="YX6" s="28"/>
      <c r="YY6" s="28"/>
      <c r="YZ6" s="28"/>
      <c r="ZA6" s="28"/>
      <c r="ZB6" s="28"/>
      <c r="ZC6" s="28"/>
      <c r="ZD6" s="28"/>
      <c r="ZE6" s="28"/>
      <c r="ZF6" s="28"/>
      <c r="ZG6" s="28"/>
      <c r="ZH6" s="28"/>
      <c r="ZI6" s="28"/>
      <c r="ZJ6" s="28"/>
      <c r="ZK6" s="28"/>
      <c r="ZL6" s="28"/>
      <c r="ZM6" s="28"/>
      <c r="ZN6" s="28"/>
      <c r="ZO6" s="28"/>
      <c r="ZP6" s="28"/>
      <c r="ZQ6" s="28"/>
      <c r="ZR6" s="28"/>
      <c r="ZS6" s="28"/>
      <c r="ZT6" s="28"/>
      <c r="ZU6" s="28"/>
      <c r="ZV6" s="28"/>
      <c r="ZW6" s="28"/>
      <c r="ZX6" s="28"/>
      <c r="ZY6" s="28"/>
      <c r="ZZ6" s="28"/>
      <c r="AAA6" s="28"/>
      <c r="AAB6" s="28"/>
      <c r="AAC6" s="28"/>
      <c r="AAD6" s="28"/>
      <c r="AAE6" s="28"/>
      <c r="AAF6" s="28"/>
      <c r="AAG6" s="28"/>
      <c r="AAH6" s="28"/>
      <c r="AAI6" s="28"/>
      <c r="AAJ6" s="28"/>
      <c r="AAK6" s="28"/>
      <c r="AAL6" s="28"/>
      <c r="AAM6" s="28"/>
      <c r="AAN6" s="28"/>
      <c r="AAO6" s="28"/>
      <c r="AAP6" s="28"/>
      <c r="AAQ6" s="28"/>
      <c r="AAR6" s="28"/>
      <c r="AAS6" s="28"/>
      <c r="AAT6" s="28"/>
      <c r="AAU6" s="28"/>
      <c r="AAV6" s="28"/>
      <c r="AAW6" s="28"/>
      <c r="AAX6" s="28"/>
      <c r="AAY6" s="28"/>
      <c r="AAZ6" s="28"/>
      <c r="ABA6" s="28"/>
      <c r="ABB6" s="28"/>
      <c r="ABC6" s="28"/>
      <c r="ABD6" s="28"/>
      <c r="ABE6" s="28"/>
      <c r="ABF6" s="28"/>
      <c r="ABG6" s="28"/>
      <c r="ABH6" s="28"/>
      <c r="ABI6" s="28"/>
      <c r="ABJ6" s="28"/>
      <c r="ABK6" s="28"/>
      <c r="ABL6" s="28"/>
      <c r="ABM6" s="28"/>
      <c r="ABN6" s="28"/>
      <c r="ABO6" s="28"/>
      <c r="ABP6" s="28"/>
      <c r="ABQ6" s="28"/>
      <c r="ABR6" s="28"/>
      <c r="ABS6" s="28"/>
      <c r="ABT6" s="28"/>
      <c r="ABU6" s="28"/>
      <c r="ABV6" s="28"/>
      <c r="ABW6" s="28"/>
      <c r="ABX6" s="28"/>
      <c r="ABY6" s="28"/>
      <c r="ABZ6" s="28"/>
      <c r="ACA6" s="28"/>
      <c r="ACB6" s="28"/>
      <c r="ACC6" s="28"/>
      <c r="ACD6" s="28"/>
      <c r="ACE6" s="28"/>
      <c r="ACF6" s="28"/>
      <c r="ACG6" s="28"/>
      <c r="ACH6" s="28"/>
      <c r="ACI6" s="28"/>
      <c r="ACJ6" s="28"/>
      <c r="ACK6" s="28"/>
      <c r="ACL6" s="28"/>
      <c r="ACM6" s="28"/>
      <c r="ACN6" s="28"/>
      <c r="ACO6" s="28"/>
      <c r="ACP6" s="28"/>
      <c r="ACQ6" s="28"/>
      <c r="ACR6" s="28"/>
      <c r="ACS6" s="28"/>
      <c r="ACT6" s="28"/>
      <c r="ACU6" s="28"/>
      <c r="ACV6" s="28"/>
      <c r="ACW6" s="28"/>
      <c r="ACX6" s="28"/>
      <c r="ACY6" s="28"/>
      <c r="ACZ6" s="28"/>
      <c r="ADA6" s="28"/>
      <c r="ADB6" s="28"/>
      <c r="ADC6" s="28"/>
      <c r="ADD6" s="28"/>
      <c r="ADE6" s="28"/>
      <c r="ADF6" s="28"/>
      <c r="ADG6" s="28"/>
      <c r="ADH6" s="28"/>
      <c r="ADI6" s="28"/>
      <c r="ADJ6" s="28"/>
      <c r="ADK6" s="28"/>
      <c r="ADL6" s="28"/>
      <c r="ADM6" s="28"/>
      <c r="ADN6" s="28"/>
      <c r="ADO6" s="28"/>
      <c r="ADP6" s="28"/>
      <c r="ADQ6" s="28"/>
      <c r="ADR6" s="28"/>
      <c r="ADS6" s="28"/>
      <c r="ADT6" s="28"/>
      <c r="ADU6" s="28"/>
      <c r="ADV6" s="28"/>
      <c r="ADW6" s="28"/>
      <c r="ADX6" s="28"/>
      <c r="ADY6" s="28"/>
      <c r="ADZ6" s="28"/>
      <c r="AEA6" s="28"/>
      <c r="AEB6" s="28"/>
      <c r="AEC6" s="28"/>
      <c r="AED6" s="28"/>
      <c r="AEE6" s="28"/>
      <c r="AEF6" s="28"/>
      <c r="AEG6" s="28"/>
      <c r="AEH6" s="28"/>
      <c r="AEI6" s="28"/>
      <c r="AEJ6" s="28"/>
      <c r="AEK6" s="28"/>
      <c r="AEL6" s="28"/>
      <c r="AEM6" s="28"/>
      <c r="AEN6" s="28"/>
      <c r="AEO6" s="28"/>
      <c r="AEP6" s="28"/>
      <c r="AEQ6" s="28"/>
      <c r="AER6" s="28"/>
      <c r="AES6" s="28"/>
      <c r="AET6" s="28"/>
      <c r="AEU6" s="28"/>
      <c r="AEV6" s="28"/>
      <c r="AEW6" s="28"/>
      <c r="AEX6" s="28"/>
      <c r="AEY6" s="28"/>
      <c r="AEZ6" s="28"/>
      <c r="AFA6" s="28"/>
      <c r="AFB6" s="28"/>
      <c r="AFC6" s="28"/>
      <c r="AFD6" s="28"/>
      <c r="AFE6" s="28"/>
      <c r="AFF6" s="28"/>
      <c r="AFG6" s="28"/>
      <c r="AFH6" s="28"/>
      <c r="AFI6" s="28"/>
      <c r="AFJ6" s="28"/>
      <c r="AFK6" s="28"/>
      <c r="AFL6" s="28"/>
      <c r="AFM6" s="28"/>
      <c r="AFN6" s="28"/>
      <c r="AFO6" s="28"/>
      <c r="AFP6" s="28"/>
      <c r="AFQ6" s="28"/>
      <c r="AFR6" s="28"/>
      <c r="AFS6" s="28"/>
      <c r="AFT6" s="28"/>
      <c r="AFU6" s="28"/>
      <c r="AFV6" s="28"/>
      <c r="AFW6" s="28"/>
      <c r="AFX6" s="28"/>
      <c r="AFY6" s="28"/>
      <c r="AFZ6" s="28"/>
      <c r="AGA6" s="28"/>
      <c r="AGB6" s="28"/>
      <c r="AGC6" s="28"/>
      <c r="AGD6" s="28"/>
      <c r="AGE6" s="28"/>
      <c r="AGF6" s="28"/>
      <c r="AGG6" s="28"/>
      <c r="AGH6" s="28"/>
      <c r="AGI6" s="28"/>
      <c r="AGJ6" s="28"/>
      <c r="AGK6" s="28"/>
      <c r="AGL6" s="28"/>
      <c r="AGM6" s="28"/>
      <c r="AGN6" s="28"/>
      <c r="AGO6" s="28"/>
      <c r="AGP6" s="28"/>
      <c r="AGQ6" s="28"/>
      <c r="AGR6" s="28"/>
      <c r="AGS6" s="28"/>
      <c r="AGT6" s="28"/>
      <c r="AGU6" s="28"/>
      <c r="AGV6" s="28"/>
      <c r="AGW6" s="28"/>
      <c r="AGX6" s="28"/>
      <c r="AGY6" s="28"/>
      <c r="AGZ6" s="28"/>
      <c r="AHA6" s="28"/>
      <c r="AHB6" s="28"/>
      <c r="AHC6" s="28"/>
      <c r="AHD6" s="28"/>
      <c r="AHE6" s="28"/>
      <c r="AHF6" s="28"/>
      <c r="AHG6" s="28"/>
      <c r="AHH6" s="28"/>
      <c r="AHI6" s="28"/>
      <c r="AHJ6" s="28"/>
      <c r="AHK6" s="28"/>
      <c r="AHL6" s="28"/>
      <c r="AHM6" s="28"/>
      <c r="AHN6" s="28"/>
      <c r="AHO6" s="28"/>
      <c r="AHP6" s="28"/>
      <c r="AHQ6" s="28"/>
      <c r="AHR6" s="28"/>
      <c r="AHS6" s="28"/>
      <c r="AHT6" s="28"/>
      <c r="AHU6" s="28"/>
      <c r="AHV6" s="28"/>
      <c r="AHW6" s="28"/>
      <c r="AHX6" s="28"/>
      <c r="AHY6" s="28"/>
      <c r="AHZ6" s="28"/>
      <c r="AIA6" s="28"/>
      <c r="AIB6" s="28"/>
      <c r="AIC6" s="28"/>
      <c r="AID6" s="28"/>
      <c r="AIE6" s="28"/>
      <c r="AIF6" s="28"/>
      <c r="AIG6" s="28"/>
      <c r="AIH6" s="28"/>
      <c r="AII6" s="28"/>
      <c r="AIJ6" s="28"/>
      <c r="AIK6" s="28"/>
      <c r="AIL6" s="28"/>
      <c r="AIM6" s="28"/>
      <c r="AIN6" s="28"/>
      <c r="AIO6" s="28"/>
      <c r="AIP6" s="28"/>
      <c r="AIQ6" s="28"/>
      <c r="AIR6" s="28"/>
      <c r="AIS6" s="28"/>
      <c r="AIT6" s="28"/>
      <c r="AIU6" s="28"/>
      <c r="AIV6" s="28"/>
      <c r="AIW6" s="28"/>
      <c r="AIX6" s="28"/>
      <c r="AIY6" s="28"/>
      <c r="AIZ6" s="28"/>
      <c r="AJA6" s="28"/>
      <c r="AJB6" s="28"/>
      <c r="AJC6" s="28"/>
      <c r="AJD6" s="28"/>
      <c r="AJE6" s="28"/>
      <c r="AJF6" s="28"/>
      <c r="AJG6" s="28"/>
      <c r="AJH6" s="28"/>
      <c r="AJI6" s="28"/>
      <c r="AJJ6" s="28"/>
      <c r="AJK6" s="28"/>
      <c r="AJL6" s="28"/>
      <c r="AJM6" s="28"/>
      <c r="AJN6" s="28"/>
      <c r="AJO6" s="28"/>
      <c r="AJP6" s="28"/>
      <c r="AJQ6" s="28"/>
      <c r="AJR6" s="28"/>
      <c r="AJS6" s="28"/>
      <c r="AJT6" s="28"/>
      <c r="AJU6" s="28"/>
      <c r="AJV6" s="28"/>
      <c r="AJW6" s="28"/>
      <c r="AJX6" s="28"/>
      <c r="AJY6" s="28"/>
      <c r="AJZ6" s="28"/>
      <c r="AKA6" s="28"/>
      <c r="AKB6" s="28"/>
      <c r="AKC6" s="28"/>
      <c r="AKD6" s="28"/>
      <c r="AKE6" s="28"/>
      <c r="AKF6" s="28"/>
      <c r="AKG6" s="28"/>
      <c r="AKH6" s="28"/>
      <c r="AKI6" s="28"/>
      <c r="AKJ6" s="28"/>
      <c r="AKK6" s="28"/>
      <c r="AKL6" s="28"/>
      <c r="AKM6" s="28"/>
      <c r="AKN6" s="28"/>
      <c r="AKO6" s="28"/>
      <c r="AKP6" s="28"/>
      <c r="AKQ6" s="28"/>
      <c r="AKR6" s="28"/>
      <c r="AKS6" s="28"/>
      <c r="AKT6" s="28"/>
      <c r="AKU6" s="28"/>
      <c r="AKV6" s="28"/>
      <c r="AKW6" s="28"/>
      <c r="AKX6" s="28"/>
      <c r="AKY6" s="28"/>
      <c r="AKZ6" s="28"/>
      <c r="ALA6" s="28"/>
      <c r="ALB6" s="28"/>
      <c r="ALC6" s="28"/>
      <c r="ALD6" s="28"/>
      <c r="ALE6" s="28"/>
      <c r="ALF6" s="28"/>
      <c r="ALG6" s="28"/>
      <c r="ALH6" s="28"/>
      <c r="ALI6" s="28"/>
      <c r="ALJ6" s="28"/>
      <c r="ALK6" s="28"/>
      <c r="ALL6" s="28"/>
      <c r="ALM6" s="28"/>
      <c r="ALN6" s="28"/>
      <c r="ALO6" s="28"/>
      <c r="ALP6" s="28"/>
      <c r="ALQ6" s="28"/>
      <c r="ALR6" s="28"/>
      <c r="ALS6" s="28"/>
      <c r="ALT6" s="28"/>
      <c r="ALU6" s="28"/>
      <c r="ALV6" s="28"/>
      <c r="ALW6" s="28"/>
      <c r="ALX6" s="28"/>
      <c r="ALY6" s="28"/>
      <c r="ALZ6" s="28"/>
      <c r="AMA6" s="28"/>
      <c r="AMB6" s="28"/>
      <c r="AMC6" s="28"/>
      <c r="AMD6" s="28"/>
      <c r="AME6" s="28"/>
      <c r="AMF6" s="28"/>
    </row>
    <row r="7" spans="1:1020">
      <c r="A7" s="29">
        <v>3173</v>
      </c>
      <c r="B7" s="19" t="s">
        <v>10</v>
      </c>
      <c r="C7" s="26">
        <v>63</v>
      </c>
      <c r="D7" s="19">
        <v>35.200000000000003</v>
      </c>
      <c r="E7" s="26">
        <v>34</v>
      </c>
      <c r="F7" s="17"/>
      <c r="G7" s="17"/>
      <c r="H7" s="23">
        <f t="shared" si="0"/>
        <v>-5.9000000000000057</v>
      </c>
      <c r="I7" s="23">
        <f t="shared" si="0"/>
        <v>-4.6939999999999955</v>
      </c>
      <c r="J7" s="23">
        <f t="shared" si="0"/>
        <v>-5</v>
      </c>
      <c r="K7" s="30"/>
      <c r="L7" s="15"/>
      <c r="M7" s="27"/>
      <c r="N7" s="27"/>
      <c r="O7" s="27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  <c r="IW7" s="28"/>
      <c r="IX7" s="28"/>
      <c r="IY7" s="28"/>
      <c r="IZ7" s="28"/>
      <c r="JA7" s="28"/>
      <c r="JB7" s="28"/>
      <c r="JC7" s="28"/>
      <c r="JD7" s="28"/>
      <c r="JE7" s="28"/>
      <c r="JF7" s="28"/>
      <c r="JG7" s="28"/>
      <c r="JH7" s="28"/>
      <c r="JI7" s="28"/>
      <c r="JJ7" s="28"/>
      <c r="JK7" s="28"/>
      <c r="JL7" s="28"/>
      <c r="JM7" s="28"/>
      <c r="JN7" s="28"/>
      <c r="JO7" s="28"/>
      <c r="JP7" s="28"/>
      <c r="JQ7" s="28"/>
      <c r="JR7" s="28"/>
      <c r="JS7" s="28"/>
      <c r="JT7" s="28"/>
      <c r="JU7" s="28"/>
      <c r="JV7" s="28"/>
      <c r="JW7" s="28"/>
      <c r="JX7" s="28"/>
      <c r="JY7" s="28"/>
      <c r="JZ7" s="28"/>
      <c r="KA7" s="28"/>
      <c r="KB7" s="28"/>
      <c r="KC7" s="28"/>
      <c r="KD7" s="28"/>
      <c r="KE7" s="28"/>
      <c r="KF7" s="28"/>
      <c r="KG7" s="28"/>
      <c r="KH7" s="28"/>
      <c r="KI7" s="28"/>
      <c r="KJ7" s="28"/>
      <c r="KK7" s="28"/>
      <c r="KL7" s="28"/>
      <c r="KM7" s="28"/>
      <c r="KN7" s="28"/>
      <c r="KO7" s="28"/>
      <c r="KP7" s="28"/>
      <c r="KQ7" s="28"/>
      <c r="KR7" s="28"/>
      <c r="KS7" s="28"/>
      <c r="KT7" s="28"/>
      <c r="KU7" s="28"/>
      <c r="KV7" s="28"/>
      <c r="KW7" s="28"/>
      <c r="KX7" s="28"/>
      <c r="KY7" s="28"/>
      <c r="KZ7" s="28"/>
      <c r="LA7" s="28"/>
      <c r="LB7" s="28"/>
      <c r="LC7" s="28"/>
      <c r="LD7" s="28"/>
      <c r="LE7" s="28"/>
      <c r="LF7" s="28"/>
      <c r="LG7" s="28"/>
      <c r="LH7" s="28"/>
      <c r="LI7" s="28"/>
      <c r="LJ7" s="28"/>
      <c r="LK7" s="28"/>
      <c r="LL7" s="28"/>
      <c r="LM7" s="28"/>
      <c r="LN7" s="28"/>
      <c r="LO7" s="28"/>
      <c r="LP7" s="28"/>
      <c r="LQ7" s="28"/>
      <c r="LR7" s="28"/>
      <c r="LS7" s="28"/>
      <c r="LT7" s="28"/>
      <c r="LU7" s="28"/>
      <c r="LV7" s="28"/>
      <c r="LW7" s="28"/>
      <c r="LX7" s="28"/>
      <c r="LY7" s="28"/>
      <c r="LZ7" s="28"/>
      <c r="MA7" s="28"/>
      <c r="MB7" s="28"/>
      <c r="MC7" s="28"/>
      <c r="MD7" s="28"/>
      <c r="ME7" s="28"/>
      <c r="MF7" s="28"/>
      <c r="MG7" s="28"/>
      <c r="MH7" s="28"/>
      <c r="MI7" s="28"/>
      <c r="MJ7" s="28"/>
      <c r="MK7" s="28"/>
      <c r="ML7" s="28"/>
      <c r="MM7" s="28"/>
      <c r="MN7" s="28"/>
      <c r="MO7" s="28"/>
      <c r="MP7" s="28"/>
      <c r="MQ7" s="28"/>
      <c r="MR7" s="28"/>
      <c r="MS7" s="28"/>
      <c r="MT7" s="28"/>
      <c r="MU7" s="28"/>
      <c r="MV7" s="28"/>
      <c r="MW7" s="28"/>
      <c r="MX7" s="28"/>
      <c r="MY7" s="28"/>
      <c r="MZ7" s="28"/>
      <c r="NA7" s="28"/>
      <c r="NB7" s="28"/>
      <c r="NC7" s="28"/>
      <c r="ND7" s="28"/>
      <c r="NE7" s="28"/>
      <c r="NF7" s="28"/>
      <c r="NG7" s="28"/>
      <c r="NH7" s="28"/>
      <c r="NI7" s="28"/>
      <c r="NJ7" s="28"/>
      <c r="NK7" s="28"/>
      <c r="NL7" s="28"/>
      <c r="NM7" s="28"/>
      <c r="NN7" s="28"/>
      <c r="NO7" s="28"/>
      <c r="NP7" s="28"/>
      <c r="NQ7" s="28"/>
      <c r="NR7" s="28"/>
      <c r="NS7" s="28"/>
      <c r="NT7" s="28"/>
      <c r="NU7" s="28"/>
      <c r="NV7" s="28"/>
      <c r="NW7" s="28"/>
      <c r="NX7" s="28"/>
      <c r="NY7" s="28"/>
      <c r="NZ7" s="28"/>
      <c r="OA7" s="28"/>
      <c r="OB7" s="28"/>
      <c r="OC7" s="28"/>
      <c r="OD7" s="28"/>
      <c r="OE7" s="28"/>
      <c r="OF7" s="28"/>
      <c r="OG7" s="28"/>
      <c r="OH7" s="28"/>
      <c r="OI7" s="28"/>
      <c r="OJ7" s="28"/>
      <c r="OK7" s="28"/>
      <c r="OL7" s="28"/>
      <c r="OM7" s="28"/>
      <c r="ON7" s="28"/>
      <c r="OO7" s="28"/>
      <c r="OP7" s="28"/>
      <c r="OQ7" s="28"/>
      <c r="OR7" s="28"/>
      <c r="OS7" s="28"/>
      <c r="OT7" s="28"/>
      <c r="OU7" s="28"/>
      <c r="OV7" s="28"/>
      <c r="OW7" s="28"/>
      <c r="OX7" s="28"/>
      <c r="OY7" s="28"/>
      <c r="OZ7" s="28"/>
      <c r="PA7" s="28"/>
      <c r="PB7" s="28"/>
      <c r="PC7" s="28"/>
      <c r="PD7" s="28"/>
      <c r="PE7" s="28"/>
      <c r="PF7" s="28"/>
      <c r="PG7" s="28"/>
      <c r="PH7" s="28"/>
      <c r="PI7" s="28"/>
      <c r="PJ7" s="28"/>
      <c r="PK7" s="28"/>
      <c r="PL7" s="28"/>
      <c r="PM7" s="28"/>
      <c r="PN7" s="28"/>
      <c r="PO7" s="28"/>
      <c r="PP7" s="28"/>
      <c r="PQ7" s="28"/>
      <c r="PR7" s="28"/>
      <c r="PS7" s="28"/>
      <c r="PT7" s="28"/>
      <c r="PU7" s="28"/>
      <c r="PV7" s="28"/>
      <c r="PW7" s="28"/>
      <c r="PX7" s="28"/>
      <c r="PY7" s="28"/>
      <c r="PZ7" s="28"/>
      <c r="QA7" s="28"/>
      <c r="QB7" s="28"/>
      <c r="QC7" s="28"/>
      <c r="QD7" s="28"/>
      <c r="QE7" s="28"/>
      <c r="QF7" s="28"/>
      <c r="QG7" s="28"/>
      <c r="QH7" s="28"/>
      <c r="QI7" s="28"/>
      <c r="QJ7" s="28"/>
      <c r="QK7" s="28"/>
      <c r="QL7" s="28"/>
      <c r="QM7" s="28"/>
      <c r="QN7" s="28"/>
      <c r="QO7" s="28"/>
      <c r="QP7" s="28"/>
      <c r="QQ7" s="28"/>
      <c r="QR7" s="28"/>
      <c r="QS7" s="28"/>
      <c r="QT7" s="28"/>
      <c r="QU7" s="28"/>
      <c r="QV7" s="28"/>
      <c r="QW7" s="28"/>
      <c r="QX7" s="28"/>
      <c r="QY7" s="28"/>
      <c r="QZ7" s="28"/>
      <c r="RA7" s="28"/>
      <c r="RB7" s="28"/>
      <c r="RC7" s="28"/>
      <c r="RD7" s="28"/>
      <c r="RE7" s="28"/>
      <c r="RF7" s="28"/>
      <c r="RG7" s="28"/>
      <c r="RH7" s="28"/>
      <c r="RI7" s="28"/>
      <c r="RJ7" s="28"/>
      <c r="RK7" s="28"/>
      <c r="RL7" s="28"/>
      <c r="RM7" s="28"/>
      <c r="RN7" s="28"/>
      <c r="RO7" s="28"/>
      <c r="RP7" s="28"/>
      <c r="RQ7" s="28"/>
      <c r="RR7" s="28"/>
      <c r="RS7" s="28"/>
      <c r="RT7" s="28"/>
      <c r="RU7" s="28"/>
      <c r="RV7" s="28"/>
      <c r="RW7" s="28"/>
      <c r="RX7" s="28"/>
      <c r="RY7" s="28"/>
      <c r="RZ7" s="28"/>
      <c r="SA7" s="28"/>
      <c r="SB7" s="28"/>
      <c r="SC7" s="28"/>
      <c r="SD7" s="28"/>
      <c r="SE7" s="28"/>
      <c r="SF7" s="28"/>
      <c r="SG7" s="28"/>
      <c r="SH7" s="28"/>
      <c r="SI7" s="28"/>
      <c r="SJ7" s="28"/>
      <c r="SK7" s="28"/>
      <c r="SL7" s="28"/>
      <c r="SM7" s="28"/>
      <c r="SN7" s="28"/>
      <c r="SO7" s="28"/>
      <c r="SP7" s="28"/>
      <c r="SQ7" s="28"/>
      <c r="SR7" s="28"/>
      <c r="SS7" s="28"/>
      <c r="ST7" s="28"/>
      <c r="SU7" s="28"/>
      <c r="SV7" s="28"/>
      <c r="SW7" s="28"/>
      <c r="SX7" s="28"/>
      <c r="SY7" s="28"/>
      <c r="SZ7" s="28"/>
      <c r="TA7" s="28"/>
      <c r="TB7" s="28"/>
      <c r="TC7" s="28"/>
      <c r="TD7" s="28"/>
      <c r="TE7" s="28"/>
      <c r="TF7" s="28"/>
      <c r="TG7" s="28"/>
      <c r="TH7" s="28"/>
      <c r="TI7" s="28"/>
      <c r="TJ7" s="28"/>
      <c r="TK7" s="28"/>
      <c r="TL7" s="28"/>
      <c r="TM7" s="28"/>
      <c r="TN7" s="28"/>
      <c r="TO7" s="28"/>
      <c r="TP7" s="28"/>
      <c r="TQ7" s="28"/>
      <c r="TR7" s="28"/>
      <c r="TS7" s="28"/>
      <c r="TT7" s="28"/>
      <c r="TU7" s="28"/>
      <c r="TV7" s="28"/>
      <c r="TW7" s="28"/>
      <c r="TX7" s="28"/>
      <c r="TY7" s="28"/>
      <c r="TZ7" s="28"/>
      <c r="UA7" s="28"/>
      <c r="UB7" s="28"/>
      <c r="UC7" s="28"/>
      <c r="UD7" s="28"/>
      <c r="UE7" s="28"/>
      <c r="UF7" s="28"/>
      <c r="UG7" s="28"/>
      <c r="UH7" s="28"/>
      <c r="UI7" s="28"/>
      <c r="UJ7" s="28"/>
      <c r="UK7" s="28"/>
      <c r="UL7" s="28"/>
      <c r="UM7" s="28"/>
      <c r="UN7" s="28"/>
      <c r="UO7" s="28"/>
      <c r="UP7" s="28"/>
      <c r="UQ7" s="28"/>
      <c r="UR7" s="28"/>
      <c r="US7" s="28"/>
      <c r="UT7" s="28"/>
      <c r="UU7" s="28"/>
      <c r="UV7" s="28"/>
      <c r="UW7" s="28"/>
      <c r="UX7" s="28"/>
      <c r="UY7" s="28"/>
      <c r="UZ7" s="28"/>
      <c r="VA7" s="28"/>
      <c r="VB7" s="28"/>
      <c r="VC7" s="28"/>
      <c r="VD7" s="28"/>
      <c r="VE7" s="28"/>
      <c r="VF7" s="28"/>
      <c r="VG7" s="28"/>
      <c r="VH7" s="28"/>
      <c r="VI7" s="28"/>
      <c r="VJ7" s="28"/>
      <c r="VK7" s="28"/>
      <c r="VL7" s="28"/>
      <c r="VM7" s="28"/>
      <c r="VN7" s="28"/>
      <c r="VO7" s="28"/>
      <c r="VP7" s="28"/>
      <c r="VQ7" s="28"/>
      <c r="VR7" s="28"/>
      <c r="VS7" s="28"/>
      <c r="VT7" s="28"/>
      <c r="VU7" s="28"/>
      <c r="VV7" s="28"/>
      <c r="VW7" s="28"/>
      <c r="VX7" s="28"/>
      <c r="VY7" s="28"/>
      <c r="VZ7" s="28"/>
      <c r="WA7" s="28"/>
      <c r="WB7" s="28"/>
      <c r="WC7" s="28"/>
      <c r="WD7" s="28"/>
      <c r="WE7" s="28"/>
      <c r="WF7" s="28"/>
      <c r="WG7" s="28"/>
      <c r="WH7" s="28"/>
      <c r="WI7" s="28"/>
      <c r="WJ7" s="28"/>
      <c r="WK7" s="28"/>
      <c r="WL7" s="28"/>
      <c r="WM7" s="28"/>
      <c r="WN7" s="28"/>
      <c r="WO7" s="28"/>
      <c r="WP7" s="28"/>
      <c r="WQ7" s="28"/>
      <c r="WR7" s="28"/>
      <c r="WS7" s="28"/>
      <c r="WT7" s="28"/>
      <c r="WU7" s="28"/>
      <c r="WV7" s="28"/>
      <c r="WW7" s="28"/>
      <c r="WX7" s="28"/>
      <c r="WY7" s="28"/>
      <c r="WZ7" s="28"/>
      <c r="XA7" s="28"/>
      <c r="XB7" s="28"/>
      <c r="XC7" s="28"/>
      <c r="XD7" s="28"/>
      <c r="XE7" s="28"/>
      <c r="XF7" s="28"/>
      <c r="XG7" s="28"/>
      <c r="XH7" s="28"/>
      <c r="XI7" s="28"/>
      <c r="XJ7" s="28"/>
      <c r="XK7" s="28"/>
      <c r="XL7" s="28"/>
      <c r="XM7" s="28"/>
      <c r="XN7" s="28"/>
      <c r="XO7" s="28"/>
      <c r="XP7" s="28"/>
      <c r="XQ7" s="28"/>
      <c r="XR7" s="28"/>
      <c r="XS7" s="28"/>
      <c r="XT7" s="28"/>
      <c r="XU7" s="28"/>
      <c r="XV7" s="28"/>
      <c r="XW7" s="28"/>
      <c r="XX7" s="28"/>
      <c r="XY7" s="28"/>
      <c r="XZ7" s="28"/>
      <c r="YA7" s="28"/>
      <c r="YB7" s="28"/>
      <c r="YC7" s="28"/>
      <c r="YD7" s="28"/>
      <c r="YE7" s="28"/>
      <c r="YF7" s="28"/>
      <c r="YG7" s="28"/>
      <c r="YH7" s="28"/>
      <c r="YI7" s="28"/>
      <c r="YJ7" s="28"/>
      <c r="YK7" s="28"/>
      <c r="YL7" s="28"/>
      <c r="YM7" s="28"/>
      <c r="YN7" s="28"/>
      <c r="YO7" s="28"/>
      <c r="YP7" s="28"/>
      <c r="YQ7" s="28"/>
      <c r="YR7" s="28"/>
      <c r="YS7" s="28"/>
      <c r="YT7" s="28"/>
      <c r="YU7" s="28"/>
      <c r="YV7" s="28"/>
      <c r="YW7" s="28"/>
      <c r="YX7" s="28"/>
      <c r="YY7" s="28"/>
      <c r="YZ7" s="28"/>
      <c r="ZA7" s="28"/>
      <c r="ZB7" s="28"/>
      <c r="ZC7" s="28"/>
      <c r="ZD7" s="28"/>
      <c r="ZE7" s="28"/>
      <c r="ZF7" s="28"/>
      <c r="ZG7" s="28"/>
      <c r="ZH7" s="28"/>
      <c r="ZI7" s="28"/>
      <c r="ZJ7" s="28"/>
      <c r="ZK7" s="28"/>
      <c r="ZL7" s="28"/>
      <c r="ZM7" s="28"/>
      <c r="ZN7" s="28"/>
      <c r="ZO7" s="28"/>
      <c r="ZP7" s="28"/>
      <c r="ZQ7" s="28"/>
      <c r="ZR7" s="28"/>
      <c r="ZS7" s="28"/>
      <c r="ZT7" s="28"/>
      <c r="ZU7" s="28"/>
      <c r="ZV7" s="28"/>
      <c r="ZW7" s="28"/>
      <c r="ZX7" s="28"/>
      <c r="ZY7" s="28"/>
      <c r="ZZ7" s="28"/>
      <c r="AAA7" s="28"/>
      <c r="AAB7" s="28"/>
      <c r="AAC7" s="28"/>
      <c r="AAD7" s="28"/>
      <c r="AAE7" s="28"/>
      <c r="AAF7" s="28"/>
      <c r="AAG7" s="28"/>
      <c r="AAH7" s="28"/>
      <c r="AAI7" s="28"/>
      <c r="AAJ7" s="28"/>
      <c r="AAK7" s="28"/>
      <c r="AAL7" s="28"/>
      <c r="AAM7" s="28"/>
      <c r="AAN7" s="28"/>
      <c r="AAO7" s="28"/>
      <c r="AAP7" s="28"/>
      <c r="AAQ7" s="28"/>
      <c r="AAR7" s="28"/>
      <c r="AAS7" s="28"/>
      <c r="AAT7" s="28"/>
      <c r="AAU7" s="28"/>
      <c r="AAV7" s="28"/>
      <c r="AAW7" s="28"/>
      <c r="AAX7" s="28"/>
      <c r="AAY7" s="28"/>
      <c r="AAZ7" s="28"/>
      <c r="ABA7" s="28"/>
      <c r="ABB7" s="28"/>
      <c r="ABC7" s="28"/>
      <c r="ABD7" s="28"/>
      <c r="ABE7" s="28"/>
      <c r="ABF7" s="28"/>
      <c r="ABG7" s="28"/>
      <c r="ABH7" s="28"/>
      <c r="ABI7" s="28"/>
      <c r="ABJ7" s="28"/>
      <c r="ABK7" s="28"/>
      <c r="ABL7" s="28"/>
      <c r="ABM7" s="28"/>
      <c r="ABN7" s="28"/>
      <c r="ABO7" s="28"/>
      <c r="ABP7" s="28"/>
      <c r="ABQ7" s="28"/>
      <c r="ABR7" s="28"/>
      <c r="ABS7" s="28"/>
      <c r="ABT7" s="28"/>
      <c r="ABU7" s="28"/>
      <c r="ABV7" s="28"/>
      <c r="ABW7" s="28"/>
      <c r="ABX7" s="28"/>
      <c r="ABY7" s="28"/>
      <c r="ABZ7" s="28"/>
      <c r="ACA7" s="28"/>
      <c r="ACB7" s="28"/>
      <c r="ACC7" s="28"/>
      <c r="ACD7" s="28"/>
      <c r="ACE7" s="28"/>
      <c r="ACF7" s="28"/>
      <c r="ACG7" s="28"/>
      <c r="ACH7" s="28"/>
      <c r="ACI7" s="28"/>
      <c r="ACJ7" s="28"/>
      <c r="ACK7" s="28"/>
      <c r="ACL7" s="28"/>
      <c r="ACM7" s="28"/>
      <c r="ACN7" s="28"/>
      <c r="ACO7" s="28"/>
      <c r="ACP7" s="28"/>
      <c r="ACQ7" s="28"/>
      <c r="ACR7" s="28"/>
      <c r="ACS7" s="28"/>
      <c r="ACT7" s="28"/>
      <c r="ACU7" s="28"/>
      <c r="ACV7" s="28"/>
      <c r="ACW7" s="28"/>
      <c r="ACX7" s="28"/>
      <c r="ACY7" s="28"/>
      <c r="ACZ7" s="28"/>
      <c r="ADA7" s="28"/>
      <c r="ADB7" s="28"/>
      <c r="ADC7" s="28"/>
      <c r="ADD7" s="28"/>
      <c r="ADE7" s="28"/>
      <c r="ADF7" s="28"/>
      <c r="ADG7" s="28"/>
      <c r="ADH7" s="28"/>
      <c r="ADI7" s="28"/>
      <c r="ADJ7" s="28"/>
      <c r="ADK7" s="28"/>
      <c r="ADL7" s="28"/>
      <c r="ADM7" s="28"/>
      <c r="ADN7" s="28"/>
      <c r="ADO7" s="28"/>
      <c r="ADP7" s="28"/>
      <c r="ADQ7" s="28"/>
      <c r="ADR7" s="28"/>
      <c r="ADS7" s="28"/>
      <c r="ADT7" s="28"/>
      <c r="ADU7" s="28"/>
      <c r="ADV7" s="28"/>
      <c r="ADW7" s="28"/>
      <c r="ADX7" s="28"/>
      <c r="ADY7" s="28"/>
      <c r="ADZ7" s="28"/>
      <c r="AEA7" s="28"/>
      <c r="AEB7" s="28"/>
      <c r="AEC7" s="28"/>
      <c r="AED7" s="28"/>
      <c r="AEE7" s="28"/>
      <c r="AEF7" s="28"/>
      <c r="AEG7" s="28"/>
      <c r="AEH7" s="28"/>
      <c r="AEI7" s="28"/>
      <c r="AEJ7" s="28"/>
      <c r="AEK7" s="28"/>
      <c r="AEL7" s="28"/>
      <c r="AEM7" s="28"/>
      <c r="AEN7" s="28"/>
      <c r="AEO7" s="28"/>
      <c r="AEP7" s="28"/>
      <c r="AEQ7" s="28"/>
      <c r="AER7" s="28"/>
      <c r="AES7" s="28"/>
      <c r="AET7" s="28"/>
      <c r="AEU7" s="28"/>
      <c r="AEV7" s="28"/>
      <c r="AEW7" s="28"/>
      <c r="AEX7" s="28"/>
      <c r="AEY7" s="28"/>
      <c r="AEZ7" s="28"/>
      <c r="AFA7" s="28"/>
      <c r="AFB7" s="28"/>
      <c r="AFC7" s="28"/>
      <c r="AFD7" s="28"/>
      <c r="AFE7" s="28"/>
      <c r="AFF7" s="28"/>
      <c r="AFG7" s="28"/>
      <c r="AFH7" s="28"/>
      <c r="AFI7" s="28"/>
      <c r="AFJ7" s="28"/>
      <c r="AFK7" s="28"/>
      <c r="AFL7" s="28"/>
      <c r="AFM7" s="28"/>
      <c r="AFN7" s="28"/>
      <c r="AFO7" s="28"/>
      <c r="AFP7" s="28"/>
      <c r="AFQ7" s="28"/>
      <c r="AFR7" s="28"/>
      <c r="AFS7" s="28"/>
      <c r="AFT7" s="28"/>
      <c r="AFU7" s="28"/>
      <c r="AFV7" s="28"/>
      <c r="AFW7" s="28"/>
      <c r="AFX7" s="28"/>
      <c r="AFY7" s="28"/>
      <c r="AFZ7" s="28"/>
      <c r="AGA7" s="28"/>
      <c r="AGB7" s="28"/>
      <c r="AGC7" s="28"/>
      <c r="AGD7" s="28"/>
      <c r="AGE7" s="28"/>
      <c r="AGF7" s="28"/>
      <c r="AGG7" s="28"/>
      <c r="AGH7" s="28"/>
      <c r="AGI7" s="28"/>
      <c r="AGJ7" s="28"/>
      <c r="AGK7" s="28"/>
      <c r="AGL7" s="28"/>
      <c r="AGM7" s="28"/>
      <c r="AGN7" s="28"/>
      <c r="AGO7" s="28"/>
      <c r="AGP7" s="28"/>
      <c r="AGQ7" s="28"/>
      <c r="AGR7" s="28"/>
      <c r="AGS7" s="28"/>
      <c r="AGT7" s="28"/>
      <c r="AGU7" s="28"/>
      <c r="AGV7" s="28"/>
      <c r="AGW7" s="28"/>
      <c r="AGX7" s="28"/>
      <c r="AGY7" s="28"/>
      <c r="AGZ7" s="28"/>
      <c r="AHA7" s="28"/>
      <c r="AHB7" s="28"/>
      <c r="AHC7" s="28"/>
      <c r="AHD7" s="28"/>
      <c r="AHE7" s="28"/>
      <c r="AHF7" s="28"/>
      <c r="AHG7" s="28"/>
      <c r="AHH7" s="28"/>
      <c r="AHI7" s="28"/>
      <c r="AHJ7" s="28"/>
      <c r="AHK7" s="28"/>
      <c r="AHL7" s="28"/>
      <c r="AHM7" s="28"/>
      <c r="AHN7" s="28"/>
      <c r="AHO7" s="28"/>
      <c r="AHP7" s="28"/>
      <c r="AHQ7" s="28"/>
      <c r="AHR7" s="28"/>
      <c r="AHS7" s="28"/>
      <c r="AHT7" s="28"/>
      <c r="AHU7" s="28"/>
      <c r="AHV7" s="28"/>
      <c r="AHW7" s="28"/>
      <c r="AHX7" s="28"/>
      <c r="AHY7" s="28"/>
      <c r="AHZ7" s="28"/>
      <c r="AIA7" s="28"/>
      <c r="AIB7" s="28"/>
      <c r="AIC7" s="28"/>
      <c r="AID7" s="28"/>
      <c r="AIE7" s="28"/>
      <c r="AIF7" s="28"/>
      <c r="AIG7" s="28"/>
      <c r="AIH7" s="28"/>
      <c r="AII7" s="28"/>
      <c r="AIJ7" s="28"/>
      <c r="AIK7" s="28"/>
      <c r="AIL7" s="28"/>
      <c r="AIM7" s="28"/>
      <c r="AIN7" s="28"/>
      <c r="AIO7" s="28"/>
      <c r="AIP7" s="28"/>
      <c r="AIQ7" s="28"/>
      <c r="AIR7" s="28"/>
      <c r="AIS7" s="28"/>
      <c r="AIT7" s="28"/>
      <c r="AIU7" s="28"/>
      <c r="AIV7" s="28"/>
      <c r="AIW7" s="28"/>
      <c r="AIX7" s="28"/>
      <c r="AIY7" s="28"/>
      <c r="AIZ7" s="28"/>
      <c r="AJA7" s="28"/>
      <c r="AJB7" s="28"/>
      <c r="AJC7" s="28"/>
      <c r="AJD7" s="28"/>
      <c r="AJE7" s="28"/>
      <c r="AJF7" s="28"/>
      <c r="AJG7" s="28"/>
      <c r="AJH7" s="28"/>
      <c r="AJI7" s="28"/>
      <c r="AJJ7" s="28"/>
      <c r="AJK7" s="28"/>
      <c r="AJL7" s="28"/>
      <c r="AJM7" s="28"/>
      <c r="AJN7" s="28"/>
      <c r="AJO7" s="28"/>
      <c r="AJP7" s="28"/>
      <c r="AJQ7" s="28"/>
      <c r="AJR7" s="28"/>
      <c r="AJS7" s="28"/>
      <c r="AJT7" s="28"/>
      <c r="AJU7" s="28"/>
      <c r="AJV7" s="28"/>
      <c r="AJW7" s="28"/>
      <c r="AJX7" s="28"/>
      <c r="AJY7" s="28"/>
      <c r="AJZ7" s="28"/>
      <c r="AKA7" s="28"/>
      <c r="AKB7" s="28"/>
      <c r="AKC7" s="28"/>
      <c r="AKD7" s="28"/>
      <c r="AKE7" s="28"/>
      <c r="AKF7" s="28"/>
      <c r="AKG7" s="28"/>
      <c r="AKH7" s="28"/>
      <c r="AKI7" s="28"/>
      <c r="AKJ7" s="28"/>
      <c r="AKK7" s="28"/>
      <c r="AKL7" s="28"/>
      <c r="AKM7" s="28"/>
      <c r="AKN7" s="28"/>
      <c r="AKO7" s="28"/>
      <c r="AKP7" s="28"/>
      <c r="AKQ7" s="28"/>
      <c r="AKR7" s="28"/>
      <c r="AKS7" s="28"/>
      <c r="AKT7" s="28"/>
      <c r="AKU7" s="28"/>
      <c r="AKV7" s="28"/>
      <c r="AKW7" s="28"/>
      <c r="AKX7" s="28"/>
      <c r="AKY7" s="28"/>
      <c r="AKZ7" s="28"/>
      <c r="ALA7" s="28"/>
      <c r="ALB7" s="28"/>
      <c r="ALC7" s="28"/>
      <c r="ALD7" s="28"/>
      <c r="ALE7" s="28"/>
      <c r="ALF7" s="28"/>
      <c r="ALG7" s="28"/>
      <c r="ALH7" s="28"/>
      <c r="ALI7" s="28"/>
      <c r="ALJ7" s="28"/>
      <c r="ALK7" s="28"/>
      <c r="ALL7" s="28"/>
      <c r="ALM7" s="28"/>
      <c r="ALN7" s="28"/>
      <c r="ALO7" s="28"/>
      <c r="ALP7" s="28"/>
      <c r="ALQ7" s="28"/>
      <c r="ALR7" s="28"/>
      <c r="ALS7" s="28"/>
      <c r="ALT7" s="28"/>
      <c r="ALU7" s="28"/>
      <c r="ALV7" s="28"/>
      <c r="ALW7" s="28"/>
      <c r="ALX7" s="28"/>
      <c r="ALY7" s="28"/>
      <c r="ALZ7" s="28"/>
      <c r="AMA7" s="28"/>
      <c r="AMB7" s="28"/>
      <c r="AMC7" s="28"/>
      <c r="AMD7" s="28"/>
      <c r="AME7" s="28"/>
      <c r="AMF7" s="28"/>
    </row>
    <row r="8" spans="1:1020">
      <c r="A8" s="29">
        <v>3174</v>
      </c>
      <c r="B8" s="19" t="s">
        <v>11</v>
      </c>
      <c r="C8" s="26">
        <v>72</v>
      </c>
      <c r="D8" s="19">
        <v>48.8</v>
      </c>
      <c r="E8" s="26">
        <v>64</v>
      </c>
      <c r="F8" s="17"/>
      <c r="G8" s="17"/>
      <c r="H8" s="23">
        <f t="shared" si="0"/>
        <v>-53</v>
      </c>
      <c r="I8" s="23">
        <f t="shared" si="0"/>
        <v>-56.978999999999999</v>
      </c>
      <c r="J8" s="23">
        <f t="shared" si="0"/>
        <v>-54.900000000000006</v>
      </c>
      <c r="K8" s="30"/>
      <c r="L8" s="15"/>
      <c r="M8" s="2"/>
      <c r="N8" s="2"/>
      <c r="O8" s="2"/>
    </row>
    <row r="9" spans="1:1020">
      <c r="A9" s="18">
        <v>3175</v>
      </c>
      <c r="B9" s="19" t="s">
        <v>12</v>
      </c>
      <c r="C9" s="26">
        <v>100</v>
      </c>
      <c r="D9" s="19">
        <v>82.6</v>
      </c>
      <c r="E9" s="26">
        <v>81.7</v>
      </c>
      <c r="F9" s="17"/>
      <c r="G9" s="17"/>
      <c r="H9" s="23">
        <f t="shared" si="0"/>
        <v>0</v>
      </c>
      <c r="I9" s="23">
        <f t="shared" si="0"/>
        <v>-16.37700000000001</v>
      </c>
      <c r="J9" s="23">
        <f t="shared" si="0"/>
        <v>0</v>
      </c>
      <c r="K9" s="30"/>
      <c r="L9" s="15"/>
      <c r="M9" s="2"/>
      <c r="N9" s="2"/>
      <c r="O9" s="2"/>
    </row>
    <row r="10" spans="1:1020">
      <c r="A10" s="18"/>
      <c r="B10" s="19" t="s">
        <v>380</v>
      </c>
      <c r="C10" s="26"/>
      <c r="D10" s="25"/>
      <c r="E10" s="26"/>
      <c r="F10" s="17"/>
      <c r="G10" s="17"/>
      <c r="H10" s="23"/>
      <c r="I10" s="23"/>
      <c r="J10" s="23"/>
      <c r="K10" s="30"/>
      <c r="L10" s="15"/>
      <c r="M10" s="2"/>
      <c r="N10" s="2"/>
      <c r="O10" s="2"/>
    </row>
    <row r="11" spans="1:1020">
      <c r="A11" s="29">
        <v>3177</v>
      </c>
      <c r="B11" s="19" t="s">
        <v>13</v>
      </c>
      <c r="C11" s="26">
        <v>26</v>
      </c>
      <c r="D11" s="225">
        <v>25.49</v>
      </c>
      <c r="E11" s="26">
        <v>26</v>
      </c>
      <c r="F11" s="16"/>
      <c r="G11" s="17"/>
      <c r="H11" s="23">
        <f t="shared" ref="H11:J12" si="1">C11-C30</f>
        <v>10.5</v>
      </c>
      <c r="I11" s="23">
        <f t="shared" si="1"/>
        <v>21.089999999999996</v>
      </c>
      <c r="J11" s="23">
        <f t="shared" si="1"/>
        <v>10.5</v>
      </c>
      <c r="K11" s="30"/>
      <c r="L11" s="15"/>
      <c r="M11" s="27"/>
      <c r="N11" s="27"/>
      <c r="O11" s="27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  <c r="IW11" s="28"/>
      <c r="IX11" s="28"/>
      <c r="IY11" s="28"/>
      <c r="IZ11" s="28"/>
      <c r="JA11" s="28"/>
      <c r="JB11" s="28"/>
      <c r="JC11" s="28"/>
      <c r="JD11" s="28"/>
      <c r="JE11" s="28"/>
      <c r="JF11" s="28"/>
      <c r="JG11" s="28"/>
      <c r="JH11" s="28"/>
      <c r="JI11" s="28"/>
      <c r="JJ11" s="28"/>
      <c r="JK11" s="28"/>
      <c r="JL11" s="28"/>
      <c r="JM11" s="28"/>
      <c r="JN11" s="28"/>
      <c r="JO11" s="28"/>
      <c r="JP11" s="28"/>
      <c r="JQ11" s="28"/>
      <c r="JR11" s="28"/>
      <c r="JS11" s="28"/>
      <c r="JT11" s="28"/>
      <c r="JU11" s="28"/>
      <c r="JV11" s="28"/>
      <c r="JW11" s="28"/>
      <c r="JX11" s="28"/>
      <c r="JY11" s="28"/>
      <c r="JZ11" s="28"/>
      <c r="KA11" s="28"/>
      <c r="KB11" s="28"/>
      <c r="KC11" s="28"/>
      <c r="KD11" s="28"/>
      <c r="KE11" s="28"/>
      <c r="KF11" s="28"/>
      <c r="KG11" s="28"/>
      <c r="KH11" s="28"/>
      <c r="KI11" s="28"/>
      <c r="KJ11" s="28"/>
      <c r="KK11" s="28"/>
      <c r="KL11" s="28"/>
      <c r="KM11" s="28"/>
      <c r="KN11" s="28"/>
      <c r="KO11" s="28"/>
      <c r="KP11" s="28"/>
      <c r="KQ11" s="28"/>
      <c r="KR11" s="28"/>
      <c r="KS11" s="28"/>
      <c r="KT11" s="28"/>
      <c r="KU11" s="28"/>
      <c r="KV11" s="28"/>
      <c r="KW11" s="28"/>
      <c r="KX11" s="28"/>
      <c r="KY11" s="28"/>
      <c r="KZ11" s="28"/>
      <c r="LA11" s="28"/>
      <c r="LB11" s="28"/>
      <c r="LC11" s="28"/>
      <c r="LD11" s="28"/>
      <c r="LE11" s="28"/>
      <c r="LF11" s="28"/>
      <c r="LG11" s="28"/>
      <c r="LH11" s="28"/>
      <c r="LI11" s="28"/>
      <c r="LJ11" s="28"/>
      <c r="LK11" s="28"/>
      <c r="LL11" s="28"/>
      <c r="LM11" s="28"/>
      <c r="LN11" s="28"/>
      <c r="LO11" s="28"/>
      <c r="LP11" s="28"/>
      <c r="LQ11" s="28"/>
      <c r="LR11" s="28"/>
      <c r="LS11" s="28"/>
      <c r="LT11" s="28"/>
      <c r="LU11" s="28"/>
      <c r="LV11" s="28"/>
      <c r="LW11" s="28"/>
      <c r="LX11" s="28"/>
      <c r="LY11" s="28"/>
      <c r="LZ11" s="28"/>
      <c r="MA11" s="28"/>
      <c r="MB11" s="28"/>
      <c r="MC11" s="28"/>
      <c r="MD11" s="28"/>
      <c r="ME11" s="28"/>
      <c r="MF11" s="28"/>
      <c r="MG11" s="28"/>
      <c r="MH11" s="28"/>
      <c r="MI11" s="28"/>
      <c r="MJ11" s="28"/>
      <c r="MK11" s="28"/>
      <c r="ML11" s="28"/>
      <c r="MM11" s="28"/>
      <c r="MN11" s="28"/>
      <c r="MO11" s="28"/>
      <c r="MP11" s="28"/>
      <c r="MQ11" s="28"/>
      <c r="MR11" s="28"/>
      <c r="MS11" s="28"/>
      <c r="MT11" s="28"/>
      <c r="MU11" s="28"/>
      <c r="MV11" s="28"/>
      <c r="MW11" s="28"/>
      <c r="MX11" s="28"/>
      <c r="MY11" s="28"/>
      <c r="MZ11" s="28"/>
      <c r="NA11" s="28"/>
      <c r="NB11" s="28"/>
      <c r="NC11" s="28"/>
      <c r="ND11" s="28"/>
      <c r="NE11" s="28"/>
      <c r="NF11" s="28"/>
      <c r="NG11" s="28"/>
      <c r="NH11" s="28"/>
      <c r="NI11" s="28"/>
      <c r="NJ11" s="28"/>
      <c r="NK11" s="28"/>
      <c r="NL11" s="28"/>
      <c r="NM11" s="28"/>
      <c r="NN11" s="28"/>
      <c r="NO11" s="28"/>
      <c r="NP11" s="28"/>
      <c r="NQ11" s="28"/>
      <c r="NR11" s="28"/>
      <c r="NS11" s="28"/>
      <c r="NT11" s="28"/>
      <c r="NU11" s="28"/>
      <c r="NV11" s="28"/>
      <c r="NW11" s="28"/>
      <c r="NX11" s="28"/>
      <c r="NY11" s="28"/>
      <c r="NZ11" s="28"/>
      <c r="OA11" s="28"/>
      <c r="OB11" s="28"/>
      <c r="OC11" s="28"/>
      <c r="OD11" s="28"/>
      <c r="OE11" s="28"/>
      <c r="OF11" s="28"/>
      <c r="OG11" s="28"/>
      <c r="OH11" s="28"/>
      <c r="OI11" s="28"/>
      <c r="OJ11" s="28"/>
      <c r="OK11" s="28"/>
      <c r="OL11" s="28"/>
      <c r="OM11" s="28"/>
      <c r="ON11" s="28"/>
      <c r="OO11" s="28"/>
      <c r="OP11" s="28"/>
      <c r="OQ11" s="28"/>
      <c r="OR11" s="28"/>
      <c r="OS11" s="28"/>
      <c r="OT11" s="28"/>
      <c r="OU11" s="28"/>
      <c r="OV11" s="28"/>
      <c r="OW11" s="28"/>
      <c r="OX11" s="28"/>
      <c r="OY11" s="28"/>
      <c r="OZ11" s="28"/>
      <c r="PA11" s="28"/>
      <c r="PB11" s="28"/>
      <c r="PC11" s="28"/>
      <c r="PD11" s="28"/>
      <c r="PE11" s="28"/>
      <c r="PF11" s="28"/>
      <c r="PG11" s="28"/>
      <c r="PH11" s="28"/>
      <c r="PI11" s="28"/>
      <c r="PJ11" s="28"/>
      <c r="PK11" s="28"/>
      <c r="PL11" s="28"/>
      <c r="PM11" s="28"/>
      <c r="PN11" s="28"/>
      <c r="PO11" s="28"/>
      <c r="PP11" s="28"/>
      <c r="PQ11" s="28"/>
      <c r="PR11" s="28"/>
      <c r="PS11" s="28"/>
      <c r="PT11" s="28"/>
      <c r="PU11" s="28"/>
      <c r="PV11" s="28"/>
      <c r="PW11" s="28"/>
      <c r="PX11" s="28"/>
      <c r="PY11" s="28"/>
      <c r="PZ11" s="28"/>
      <c r="QA11" s="28"/>
      <c r="QB11" s="28"/>
      <c r="QC11" s="28"/>
      <c r="QD11" s="28"/>
      <c r="QE11" s="28"/>
      <c r="QF11" s="28"/>
      <c r="QG11" s="28"/>
      <c r="QH11" s="28"/>
      <c r="QI11" s="28"/>
      <c r="QJ11" s="28"/>
      <c r="QK11" s="28"/>
      <c r="QL11" s="28"/>
      <c r="QM11" s="28"/>
      <c r="QN11" s="28"/>
      <c r="QO11" s="28"/>
      <c r="QP11" s="28"/>
      <c r="QQ11" s="28"/>
      <c r="QR11" s="28"/>
      <c r="QS11" s="28"/>
      <c r="QT11" s="28"/>
      <c r="QU11" s="28"/>
      <c r="QV11" s="28"/>
      <c r="QW11" s="28"/>
      <c r="QX11" s="28"/>
      <c r="QY11" s="28"/>
      <c r="QZ11" s="28"/>
      <c r="RA11" s="28"/>
      <c r="RB11" s="28"/>
      <c r="RC11" s="28"/>
      <c r="RD11" s="28"/>
      <c r="RE11" s="28"/>
      <c r="RF11" s="28"/>
      <c r="RG11" s="28"/>
      <c r="RH11" s="28"/>
      <c r="RI11" s="28"/>
      <c r="RJ11" s="28"/>
      <c r="RK11" s="28"/>
      <c r="RL11" s="28"/>
      <c r="RM11" s="28"/>
      <c r="RN11" s="28"/>
      <c r="RO11" s="28"/>
      <c r="RP11" s="28"/>
      <c r="RQ11" s="28"/>
      <c r="RR11" s="28"/>
      <c r="RS11" s="28"/>
      <c r="RT11" s="28"/>
      <c r="RU11" s="28"/>
      <c r="RV11" s="28"/>
      <c r="RW11" s="28"/>
      <c r="RX11" s="28"/>
      <c r="RY11" s="28"/>
      <c r="RZ11" s="28"/>
      <c r="SA11" s="28"/>
      <c r="SB11" s="28"/>
      <c r="SC11" s="28"/>
      <c r="SD11" s="28"/>
      <c r="SE11" s="28"/>
      <c r="SF11" s="28"/>
      <c r="SG11" s="28"/>
      <c r="SH11" s="28"/>
      <c r="SI11" s="28"/>
      <c r="SJ11" s="28"/>
      <c r="SK11" s="28"/>
      <c r="SL11" s="28"/>
      <c r="SM11" s="28"/>
      <c r="SN11" s="28"/>
      <c r="SO11" s="28"/>
      <c r="SP11" s="28"/>
      <c r="SQ11" s="28"/>
      <c r="SR11" s="28"/>
      <c r="SS11" s="28"/>
      <c r="ST11" s="28"/>
      <c r="SU11" s="28"/>
      <c r="SV11" s="28"/>
      <c r="SW11" s="28"/>
      <c r="SX11" s="28"/>
      <c r="SY11" s="28"/>
      <c r="SZ11" s="28"/>
      <c r="TA11" s="28"/>
      <c r="TB11" s="28"/>
      <c r="TC11" s="28"/>
      <c r="TD11" s="28"/>
      <c r="TE11" s="28"/>
      <c r="TF11" s="28"/>
      <c r="TG11" s="28"/>
      <c r="TH11" s="28"/>
      <c r="TI11" s="28"/>
      <c r="TJ11" s="28"/>
      <c r="TK11" s="28"/>
      <c r="TL11" s="28"/>
      <c r="TM11" s="28"/>
      <c r="TN11" s="28"/>
      <c r="TO11" s="28"/>
      <c r="TP11" s="28"/>
      <c r="TQ11" s="28"/>
      <c r="TR11" s="28"/>
      <c r="TS11" s="28"/>
      <c r="TT11" s="28"/>
      <c r="TU11" s="28"/>
      <c r="TV11" s="28"/>
      <c r="TW11" s="28"/>
      <c r="TX11" s="28"/>
      <c r="TY11" s="28"/>
      <c r="TZ11" s="28"/>
      <c r="UA11" s="28"/>
      <c r="UB11" s="28"/>
      <c r="UC11" s="28"/>
      <c r="UD11" s="28"/>
      <c r="UE11" s="28"/>
      <c r="UF11" s="28"/>
      <c r="UG11" s="28"/>
      <c r="UH11" s="28"/>
      <c r="UI11" s="28"/>
      <c r="UJ11" s="28"/>
      <c r="UK11" s="28"/>
      <c r="UL11" s="28"/>
      <c r="UM11" s="28"/>
      <c r="UN11" s="28"/>
      <c r="UO11" s="28"/>
      <c r="UP11" s="28"/>
      <c r="UQ11" s="28"/>
      <c r="UR11" s="28"/>
      <c r="US11" s="28"/>
      <c r="UT11" s="28"/>
      <c r="UU11" s="28"/>
      <c r="UV11" s="28"/>
      <c r="UW11" s="28"/>
      <c r="UX11" s="28"/>
      <c r="UY11" s="28"/>
      <c r="UZ11" s="28"/>
      <c r="VA11" s="28"/>
      <c r="VB11" s="28"/>
      <c r="VC11" s="28"/>
      <c r="VD11" s="28"/>
      <c r="VE11" s="28"/>
      <c r="VF11" s="28"/>
      <c r="VG11" s="28"/>
      <c r="VH11" s="28"/>
      <c r="VI11" s="28"/>
      <c r="VJ11" s="28"/>
      <c r="VK11" s="28"/>
      <c r="VL11" s="28"/>
      <c r="VM11" s="28"/>
      <c r="VN11" s="28"/>
      <c r="VO11" s="28"/>
      <c r="VP11" s="28"/>
      <c r="VQ11" s="28"/>
      <c r="VR11" s="28"/>
      <c r="VS11" s="28"/>
      <c r="VT11" s="28"/>
      <c r="VU11" s="28"/>
      <c r="VV11" s="28"/>
      <c r="VW11" s="28"/>
      <c r="VX11" s="28"/>
      <c r="VY11" s="28"/>
      <c r="VZ11" s="28"/>
      <c r="WA11" s="28"/>
      <c r="WB11" s="28"/>
      <c r="WC11" s="28"/>
      <c r="WD11" s="28"/>
      <c r="WE11" s="28"/>
      <c r="WF11" s="28"/>
      <c r="WG11" s="28"/>
      <c r="WH11" s="28"/>
      <c r="WI11" s="28"/>
      <c r="WJ11" s="28"/>
      <c r="WK11" s="28"/>
      <c r="WL11" s="28"/>
      <c r="WM11" s="28"/>
      <c r="WN11" s="28"/>
      <c r="WO11" s="28"/>
      <c r="WP11" s="28"/>
      <c r="WQ11" s="28"/>
      <c r="WR11" s="28"/>
      <c r="WS11" s="28"/>
      <c r="WT11" s="28"/>
      <c r="WU11" s="28"/>
      <c r="WV11" s="28"/>
      <c r="WW11" s="28"/>
      <c r="WX11" s="28"/>
      <c r="WY11" s="28"/>
      <c r="WZ11" s="28"/>
      <c r="XA11" s="28"/>
      <c r="XB11" s="28"/>
      <c r="XC11" s="28"/>
      <c r="XD11" s="28"/>
      <c r="XE11" s="28"/>
      <c r="XF11" s="28"/>
      <c r="XG11" s="28"/>
      <c r="XH11" s="28"/>
      <c r="XI11" s="28"/>
      <c r="XJ11" s="28"/>
      <c r="XK11" s="28"/>
      <c r="XL11" s="28"/>
      <c r="XM11" s="28"/>
      <c r="XN11" s="28"/>
      <c r="XO11" s="28"/>
      <c r="XP11" s="28"/>
      <c r="XQ11" s="28"/>
      <c r="XR11" s="28"/>
      <c r="XS11" s="28"/>
      <c r="XT11" s="28"/>
      <c r="XU11" s="28"/>
      <c r="XV11" s="28"/>
      <c r="XW11" s="28"/>
      <c r="XX11" s="28"/>
      <c r="XY11" s="28"/>
      <c r="XZ11" s="28"/>
      <c r="YA11" s="28"/>
      <c r="YB11" s="28"/>
      <c r="YC11" s="28"/>
      <c r="YD11" s="28"/>
      <c r="YE11" s="28"/>
      <c r="YF11" s="28"/>
      <c r="YG11" s="28"/>
      <c r="YH11" s="28"/>
      <c r="YI11" s="28"/>
      <c r="YJ11" s="28"/>
      <c r="YK11" s="28"/>
      <c r="YL11" s="28"/>
      <c r="YM11" s="28"/>
      <c r="YN11" s="28"/>
      <c r="YO11" s="28"/>
      <c r="YP11" s="28"/>
      <c r="YQ11" s="28"/>
      <c r="YR11" s="28"/>
      <c r="YS11" s="28"/>
      <c r="YT11" s="28"/>
      <c r="YU11" s="28"/>
      <c r="YV11" s="28"/>
      <c r="YW11" s="28"/>
      <c r="YX11" s="28"/>
      <c r="YY11" s="28"/>
      <c r="YZ11" s="28"/>
      <c r="ZA11" s="28"/>
      <c r="ZB11" s="28"/>
      <c r="ZC11" s="28"/>
      <c r="ZD11" s="28"/>
      <c r="ZE11" s="28"/>
      <c r="ZF11" s="28"/>
      <c r="ZG11" s="28"/>
      <c r="ZH11" s="28"/>
      <c r="ZI11" s="28"/>
      <c r="ZJ11" s="28"/>
      <c r="ZK11" s="28"/>
      <c r="ZL11" s="28"/>
      <c r="ZM11" s="28"/>
      <c r="ZN11" s="28"/>
      <c r="ZO11" s="28"/>
      <c r="ZP11" s="28"/>
      <c r="ZQ11" s="28"/>
      <c r="ZR11" s="28"/>
      <c r="ZS11" s="28"/>
      <c r="ZT11" s="28"/>
      <c r="ZU11" s="28"/>
      <c r="ZV11" s="28"/>
      <c r="ZW11" s="28"/>
      <c r="ZX11" s="28"/>
      <c r="ZY11" s="28"/>
      <c r="ZZ11" s="28"/>
      <c r="AAA11" s="28"/>
      <c r="AAB11" s="28"/>
      <c r="AAC11" s="28"/>
      <c r="AAD11" s="28"/>
      <c r="AAE11" s="28"/>
      <c r="AAF11" s="28"/>
      <c r="AAG11" s="28"/>
      <c r="AAH11" s="28"/>
      <c r="AAI11" s="28"/>
      <c r="AAJ11" s="28"/>
      <c r="AAK11" s="28"/>
      <c r="AAL11" s="28"/>
      <c r="AAM11" s="28"/>
      <c r="AAN11" s="28"/>
      <c r="AAO11" s="28"/>
      <c r="AAP11" s="28"/>
      <c r="AAQ11" s="28"/>
      <c r="AAR11" s="28"/>
      <c r="AAS11" s="28"/>
      <c r="AAT11" s="28"/>
      <c r="AAU11" s="28"/>
      <c r="AAV11" s="28"/>
      <c r="AAW11" s="28"/>
      <c r="AAX11" s="28"/>
      <c r="AAY11" s="28"/>
      <c r="AAZ11" s="28"/>
      <c r="ABA11" s="28"/>
      <c r="ABB11" s="28"/>
      <c r="ABC11" s="28"/>
      <c r="ABD11" s="28"/>
      <c r="ABE11" s="28"/>
      <c r="ABF11" s="28"/>
      <c r="ABG11" s="28"/>
      <c r="ABH11" s="28"/>
      <c r="ABI11" s="28"/>
      <c r="ABJ11" s="28"/>
      <c r="ABK11" s="28"/>
      <c r="ABL11" s="28"/>
      <c r="ABM11" s="28"/>
      <c r="ABN11" s="28"/>
      <c r="ABO11" s="28"/>
      <c r="ABP11" s="28"/>
      <c r="ABQ11" s="28"/>
      <c r="ABR11" s="28"/>
      <c r="ABS11" s="28"/>
      <c r="ABT11" s="28"/>
      <c r="ABU11" s="28"/>
      <c r="ABV11" s="28"/>
      <c r="ABW11" s="28"/>
      <c r="ABX11" s="28"/>
      <c r="ABY11" s="28"/>
      <c r="ABZ11" s="28"/>
      <c r="ACA11" s="28"/>
      <c r="ACB11" s="28"/>
      <c r="ACC11" s="28"/>
      <c r="ACD11" s="28"/>
      <c r="ACE11" s="28"/>
      <c r="ACF11" s="28"/>
      <c r="ACG11" s="28"/>
      <c r="ACH11" s="28"/>
      <c r="ACI11" s="28"/>
      <c r="ACJ11" s="28"/>
      <c r="ACK11" s="28"/>
      <c r="ACL11" s="28"/>
      <c r="ACM11" s="28"/>
      <c r="ACN11" s="28"/>
      <c r="ACO11" s="28"/>
      <c r="ACP11" s="28"/>
      <c r="ACQ11" s="28"/>
      <c r="ACR11" s="28"/>
      <c r="ACS11" s="28"/>
      <c r="ACT11" s="28"/>
      <c r="ACU11" s="28"/>
      <c r="ACV11" s="28"/>
      <c r="ACW11" s="28"/>
      <c r="ACX11" s="28"/>
      <c r="ACY11" s="28"/>
      <c r="ACZ11" s="28"/>
      <c r="ADA11" s="28"/>
      <c r="ADB11" s="28"/>
      <c r="ADC11" s="28"/>
      <c r="ADD11" s="28"/>
      <c r="ADE11" s="28"/>
      <c r="ADF11" s="28"/>
      <c r="ADG11" s="28"/>
      <c r="ADH11" s="28"/>
      <c r="ADI11" s="28"/>
      <c r="ADJ11" s="28"/>
      <c r="ADK11" s="28"/>
      <c r="ADL11" s="28"/>
      <c r="ADM11" s="28"/>
      <c r="ADN11" s="28"/>
      <c r="ADO11" s="28"/>
      <c r="ADP11" s="28"/>
      <c r="ADQ11" s="28"/>
      <c r="ADR11" s="28"/>
      <c r="ADS11" s="28"/>
      <c r="ADT11" s="28"/>
      <c r="ADU11" s="28"/>
      <c r="ADV11" s="28"/>
      <c r="ADW11" s="28"/>
      <c r="ADX11" s="28"/>
      <c r="ADY11" s="28"/>
      <c r="ADZ11" s="28"/>
      <c r="AEA11" s="28"/>
      <c r="AEB11" s="28"/>
      <c r="AEC11" s="28"/>
      <c r="AED11" s="28"/>
      <c r="AEE11" s="28"/>
      <c r="AEF11" s="28"/>
      <c r="AEG11" s="28"/>
      <c r="AEH11" s="28"/>
      <c r="AEI11" s="28"/>
      <c r="AEJ11" s="28"/>
      <c r="AEK11" s="28"/>
      <c r="AEL11" s="28"/>
      <c r="AEM11" s="28"/>
      <c r="AEN11" s="28"/>
      <c r="AEO11" s="28"/>
      <c r="AEP11" s="28"/>
      <c r="AEQ11" s="28"/>
      <c r="AER11" s="28"/>
      <c r="AES11" s="28"/>
      <c r="AET11" s="28"/>
      <c r="AEU11" s="28"/>
      <c r="AEV11" s="28"/>
      <c r="AEW11" s="28"/>
      <c r="AEX11" s="28"/>
      <c r="AEY11" s="28"/>
      <c r="AEZ11" s="28"/>
      <c r="AFA11" s="28"/>
      <c r="AFB11" s="28"/>
      <c r="AFC11" s="28"/>
      <c r="AFD11" s="28"/>
      <c r="AFE11" s="28"/>
      <c r="AFF11" s="28"/>
      <c r="AFG11" s="28"/>
      <c r="AFH11" s="28"/>
      <c r="AFI11" s="28"/>
      <c r="AFJ11" s="28"/>
      <c r="AFK11" s="28"/>
      <c r="AFL11" s="28"/>
      <c r="AFM11" s="28"/>
      <c r="AFN11" s="28"/>
      <c r="AFO11" s="28"/>
      <c r="AFP11" s="28"/>
      <c r="AFQ11" s="28"/>
      <c r="AFR11" s="28"/>
      <c r="AFS11" s="28"/>
      <c r="AFT11" s="28"/>
      <c r="AFU11" s="28"/>
      <c r="AFV11" s="28"/>
      <c r="AFW11" s="28"/>
      <c r="AFX11" s="28"/>
      <c r="AFY11" s="28"/>
      <c r="AFZ11" s="28"/>
      <c r="AGA11" s="28"/>
      <c r="AGB11" s="28"/>
      <c r="AGC11" s="28"/>
      <c r="AGD11" s="28"/>
      <c r="AGE11" s="28"/>
      <c r="AGF11" s="28"/>
      <c r="AGG11" s="28"/>
      <c r="AGH11" s="28"/>
      <c r="AGI11" s="28"/>
      <c r="AGJ11" s="28"/>
      <c r="AGK11" s="28"/>
      <c r="AGL11" s="28"/>
      <c r="AGM11" s="28"/>
      <c r="AGN11" s="28"/>
      <c r="AGO11" s="28"/>
      <c r="AGP11" s="28"/>
      <c r="AGQ11" s="28"/>
      <c r="AGR11" s="28"/>
      <c r="AGS11" s="28"/>
      <c r="AGT11" s="28"/>
      <c r="AGU11" s="28"/>
      <c r="AGV11" s="28"/>
      <c r="AGW11" s="28"/>
      <c r="AGX11" s="28"/>
      <c r="AGY11" s="28"/>
      <c r="AGZ11" s="28"/>
      <c r="AHA11" s="28"/>
      <c r="AHB11" s="28"/>
      <c r="AHC11" s="28"/>
      <c r="AHD11" s="28"/>
      <c r="AHE11" s="28"/>
      <c r="AHF11" s="28"/>
      <c r="AHG11" s="28"/>
      <c r="AHH11" s="28"/>
      <c r="AHI11" s="28"/>
      <c r="AHJ11" s="28"/>
      <c r="AHK11" s="28"/>
      <c r="AHL11" s="28"/>
      <c r="AHM11" s="28"/>
      <c r="AHN11" s="28"/>
      <c r="AHO11" s="28"/>
      <c r="AHP11" s="28"/>
      <c r="AHQ11" s="28"/>
      <c r="AHR11" s="28"/>
      <c r="AHS11" s="28"/>
      <c r="AHT11" s="28"/>
      <c r="AHU11" s="28"/>
      <c r="AHV11" s="28"/>
      <c r="AHW11" s="28"/>
      <c r="AHX11" s="28"/>
      <c r="AHY11" s="28"/>
      <c r="AHZ11" s="28"/>
      <c r="AIA11" s="28"/>
      <c r="AIB11" s="28"/>
      <c r="AIC11" s="28"/>
      <c r="AID11" s="28"/>
      <c r="AIE11" s="28"/>
      <c r="AIF11" s="28"/>
      <c r="AIG11" s="28"/>
      <c r="AIH11" s="28"/>
      <c r="AII11" s="28"/>
      <c r="AIJ11" s="28"/>
      <c r="AIK11" s="28"/>
      <c r="AIL11" s="28"/>
      <c r="AIM11" s="28"/>
      <c r="AIN11" s="28"/>
      <c r="AIO11" s="28"/>
      <c r="AIP11" s="28"/>
      <c r="AIQ11" s="28"/>
      <c r="AIR11" s="28"/>
      <c r="AIS11" s="28"/>
      <c r="AIT11" s="28"/>
      <c r="AIU11" s="28"/>
      <c r="AIV11" s="28"/>
      <c r="AIW11" s="28"/>
      <c r="AIX11" s="28"/>
      <c r="AIY11" s="28"/>
      <c r="AIZ11" s="28"/>
      <c r="AJA11" s="28"/>
      <c r="AJB11" s="28"/>
      <c r="AJC11" s="28"/>
      <c r="AJD11" s="28"/>
      <c r="AJE11" s="28"/>
      <c r="AJF11" s="28"/>
      <c r="AJG11" s="28"/>
      <c r="AJH11" s="28"/>
      <c r="AJI11" s="28"/>
      <c r="AJJ11" s="28"/>
      <c r="AJK11" s="28"/>
      <c r="AJL11" s="28"/>
      <c r="AJM11" s="28"/>
      <c r="AJN11" s="28"/>
      <c r="AJO11" s="28"/>
      <c r="AJP11" s="28"/>
      <c r="AJQ11" s="28"/>
      <c r="AJR11" s="28"/>
      <c r="AJS11" s="28"/>
      <c r="AJT11" s="28"/>
      <c r="AJU11" s="28"/>
      <c r="AJV11" s="28"/>
      <c r="AJW11" s="28"/>
      <c r="AJX11" s="28"/>
      <c r="AJY11" s="28"/>
      <c r="AJZ11" s="28"/>
      <c r="AKA11" s="28"/>
      <c r="AKB11" s="28"/>
      <c r="AKC11" s="28"/>
      <c r="AKD11" s="28"/>
      <c r="AKE11" s="28"/>
      <c r="AKF11" s="28"/>
      <c r="AKG11" s="28"/>
      <c r="AKH11" s="28"/>
      <c r="AKI11" s="28"/>
      <c r="AKJ11" s="28"/>
      <c r="AKK11" s="28"/>
      <c r="AKL11" s="28"/>
      <c r="AKM11" s="28"/>
      <c r="AKN11" s="28"/>
      <c r="AKO11" s="28"/>
      <c r="AKP11" s="28"/>
      <c r="AKQ11" s="28"/>
      <c r="AKR11" s="28"/>
      <c r="AKS11" s="28"/>
      <c r="AKT11" s="28"/>
      <c r="AKU11" s="28"/>
      <c r="AKV11" s="28"/>
      <c r="AKW11" s="28"/>
      <c r="AKX11" s="28"/>
      <c r="AKY11" s="28"/>
      <c r="AKZ11" s="28"/>
      <c r="ALA11" s="28"/>
      <c r="ALB11" s="28"/>
      <c r="ALC11" s="28"/>
      <c r="ALD11" s="28"/>
      <c r="ALE11" s="28"/>
      <c r="ALF11" s="28"/>
      <c r="ALG11" s="28"/>
      <c r="ALH11" s="28"/>
      <c r="ALI11" s="28"/>
      <c r="ALJ11" s="28"/>
      <c r="ALK11" s="28"/>
      <c r="ALL11" s="28"/>
      <c r="ALM11" s="28"/>
      <c r="ALN11" s="28"/>
      <c r="ALO11" s="28"/>
      <c r="ALP11" s="28"/>
      <c r="ALQ11" s="28"/>
      <c r="ALR11" s="28"/>
      <c r="ALS11" s="28"/>
      <c r="ALT11" s="28"/>
      <c r="ALU11" s="28"/>
      <c r="ALV11" s="28"/>
      <c r="ALW11" s="28"/>
      <c r="ALX11" s="28"/>
      <c r="ALY11" s="28"/>
      <c r="ALZ11" s="28"/>
      <c r="AMA11" s="28"/>
      <c r="AMB11" s="28"/>
      <c r="AMC11" s="28"/>
      <c r="AMD11" s="28"/>
      <c r="AME11" s="28"/>
      <c r="AMF11" s="28"/>
    </row>
    <row r="12" spans="1:1020">
      <c r="A12" s="29">
        <v>3178</v>
      </c>
      <c r="B12" s="19" t="s">
        <v>14</v>
      </c>
      <c r="C12" s="26">
        <v>81</v>
      </c>
      <c r="D12" s="19">
        <v>90.4</v>
      </c>
      <c r="E12" s="26">
        <v>72</v>
      </c>
      <c r="F12" s="17"/>
      <c r="G12" s="17"/>
      <c r="H12" s="23">
        <f t="shared" si="1"/>
        <v>2.5</v>
      </c>
      <c r="I12" s="23">
        <f t="shared" si="1"/>
        <v>32.561000000000007</v>
      </c>
      <c r="J12" s="23">
        <f t="shared" si="1"/>
        <v>0</v>
      </c>
      <c r="K12" s="31"/>
      <c r="L12" s="15"/>
      <c r="M12" s="2"/>
      <c r="N12" s="2"/>
      <c r="O12" s="2"/>
    </row>
    <row r="13" spans="1:1020">
      <c r="A13" s="18">
        <v>3540</v>
      </c>
      <c r="B13" s="19" t="s">
        <v>15</v>
      </c>
      <c r="C13" s="26"/>
      <c r="D13" s="19">
        <v>0</v>
      </c>
      <c r="E13" s="26"/>
      <c r="F13" s="17"/>
      <c r="G13" s="17"/>
      <c r="H13" s="23">
        <f>C13-C20</f>
        <v>-7.5</v>
      </c>
      <c r="I13" s="23">
        <f>D13-D20</f>
        <v>-8.6560000000000006</v>
      </c>
      <c r="J13" s="23">
        <f>E13-E20</f>
        <v>-7.5</v>
      </c>
      <c r="K13" s="30"/>
      <c r="L13" s="15"/>
      <c r="M13" s="2"/>
      <c r="N13" s="2"/>
      <c r="O13" s="2"/>
    </row>
    <row r="14" spans="1:1020">
      <c r="A14" s="18"/>
      <c r="B14" s="19" t="s">
        <v>16</v>
      </c>
      <c r="C14" s="26">
        <v>5</v>
      </c>
      <c r="D14" s="19">
        <v>5</v>
      </c>
      <c r="E14" s="26">
        <v>5</v>
      </c>
      <c r="F14" s="17"/>
      <c r="G14" s="17"/>
      <c r="H14" s="23"/>
      <c r="I14" s="23"/>
      <c r="J14" s="23"/>
      <c r="K14" s="31"/>
      <c r="L14" s="15"/>
      <c r="M14" s="27"/>
      <c r="N14" s="27"/>
      <c r="O14" s="27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  <c r="KH14" s="28"/>
      <c r="KI14" s="28"/>
      <c r="KJ14" s="28"/>
      <c r="KK14" s="28"/>
      <c r="KL14" s="28"/>
      <c r="KM14" s="28"/>
      <c r="KN14" s="28"/>
      <c r="KO14" s="28"/>
      <c r="KP14" s="28"/>
      <c r="KQ14" s="28"/>
      <c r="KR14" s="28"/>
      <c r="KS14" s="28"/>
      <c r="KT14" s="28"/>
      <c r="KU14" s="28"/>
      <c r="KV14" s="28"/>
      <c r="KW14" s="28"/>
      <c r="KX14" s="28"/>
      <c r="KY14" s="28"/>
      <c r="KZ14" s="28"/>
      <c r="LA14" s="28"/>
      <c r="LB14" s="28"/>
      <c r="LC14" s="28"/>
      <c r="LD14" s="28"/>
      <c r="LE14" s="28"/>
      <c r="LF14" s="28"/>
      <c r="LG14" s="28"/>
      <c r="LH14" s="28"/>
      <c r="LI14" s="28"/>
      <c r="LJ14" s="28"/>
      <c r="LK14" s="28"/>
      <c r="LL14" s="28"/>
      <c r="LM14" s="28"/>
      <c r="LN14" s="28"/>
      <c r="LO14" s="28"/>
      <c r="LP14" s="28"/>
      <c r="LQ14" s="28"/>
      <c r="LR14" s="28"/>
      <c r="LS14" s="28"/>
      <c r="LT14" s="28"/>
      <c r="LU14" s="28"/>
      <c r="LV14" s="28"/>
      <c r="LW14" s="28"/>
      <c r="LX14" s="28"/>
      <c r="LY14" s="28"/>
      <c r="LZ14" s="28"/>
      <c r="MA14" s="28"/>
      <c r="MB14" s="28"/>
      <c r="MC14" s="28"/>
      <c r="MD14" s="28"/>
      <c r="ME14" s="28"/>
      <c r="MF14" s="28"/>
      <c r="MG14" s="28"/>
      <c r="MH14" s="28"/>
      <c r="MI14" s="28"/>
      <c r="MJ14" s="28"/>
      <c r="MK14" s="28"/>
      <c r="ML14" s="28"/>
      <c r="MM14" s="28"/>
      <c r="MN14" s="28"/>
      <c r="MO14" s="28"/>
      <c r="MP14" s="28"/>
      <c r="MQ14" s="28"/>
      <c r="MR14" s="28"/>
      <c r="MS14" s="28"/>
      <c r="MT14" s="28"/>
      <c r="MU14" s="28"/>
      <c r="MV14" s="28"/>
      <c r="MW14" s="28"/>
      <c r="MX14" s="28"/>
      <c r="MY14" s="28"/>
      <c r="MZ14" s="28"/>
      <c r="NA14" s="28"/>
      <c r="NB14" s="28"/>
      <c r="NC14" s="28"/>
      <c r="ND14" s="28"/>
      <c r="NE14" s="28"/>
      <c r="NF14" s="28"/>
      <c r="NG14" s="28"/>
      <c r="NH14" s="28"/>
      <c r="NI14" s="28"/>
      <c r="NJ14" s="28"/>
      <c r="NK14" s="28"/>
      <c r="NL14" s="28"/>
      <c r="NM14" s="28"/>
      <c r="NN14" s="28"/>
      <c r="NO14" s="28"/>
      <c r="NP14" s="28"/>
      <c r="NQ14" s="28"/>
      <c r="NR14" s="28"/>
      <c r="NS14" s="28"/>
      <c r="NT14" s="28"/>
      <c r="NU14" s="28"/>
      <c r="NV14" s="28"/>
      <c r="NW14" s="28"/>
      <c r="NX14" s="28"/>
      <c r="NY14" s="28"/>
      <c r="NZ14" s="28"/>
      <c r="OA14" s="28"/>
      <c r="OB14" s="28"/>
      <c r="OC14" s="28"/>
      <c r="OD14" s="28"/>
      <c r="OE14" s="28"/>
      <c r="OF14" s="28"/>
      <c r="OG14" s="28"/>
      <c r="OH14" s="28"/>
      <c r="OI14" s="28"/>
      <c r="OJ14" s="28"/>
      <c r="OK14" s="28"/>
      <c r="OL14" s="28"/>
      <c r="OM14" s="28"/>
      <c r="ON14" s="28"/>
      <c r="OO14" s="28"/>
      <c r="OP14" s="28"/>
      <c r="OQ14" s="28"/>
      <c r="OR14" s="28"/>
      <c r="OS14" s="28"/>
      <c r="OT14" s="28"/>
      <c r="OU14" s="28"/>
      <c r="OV14" s="28"/>
      <c r="OW14" s="28"/>
      <c r="OX14" s="28"/>
      <c r="OY14" s="28"/>
      <c r="OZ14" s="28"/>
      <c r="PA14" s="28"/>
      <c r="PB14" s="28"/>
      <c r="PC14" s="28"/>
      <c r="PD14" s="28"/>
      <c r="PE14" s="28"/>
      <c r="PF14" s="28"/>
      <c r="PG14" s="28"/>
      <c r="PH14" s="28"/>
      <c r="PI14" s="28"/>
      <c r="PJ14" s="28"/>
      <c r="PK14" s="28"/>
      <c r="PL14" s="28"/>
      <c r="PM14" s="28"/>
      <c r="PN14" s="28"/>
      <c r="PO14" s="28"/>
      <c r="PP14" s="28"/>
      <c r="PQ14" s="28"/>
      <c r="PR14" s="28"/>
      <c r="PS14" s="28"/>
      <c r="PT14" s="28"/>
      <c r="PU14" s="28"/>
      <c r="PV14" s="28"/>
      <c r="PW14" s="28"/>
      <c r="PX14" s="28"/>
      <c r="PY14" s="28"/>
      <c r="PZ14" s="28"/>
      <c r="QA14" s="28"/>
      <c r="QB14" s="28"/>
      <c r="QC14" s="28"/>
      <c r="QD14" s="28"/>
      <c r="QE14" s="28"/>
      <c r="QF14" s="28"/>
      <c r="QG14" s="28"/>
      <c r="QH14" s="28"/>
      <c r="QI14" s="28"/>
      <c r="QJ14" s="28"/>
      <c r="QK14" s="28"/>
      <c r="QL14" s="28"/>
      <c r="QM14" s="28"/>
      <c r="QN14" s="28"/>
      <c r="QO14" s="28"/>
      <c r="QP14" s="28"/>
      <c r="QQ14" s="28"/>
      <c r="QR14" s="28"/>
      <c r="QS14" s="28"/>
      <c r="QT14" s="28"/>
      <c r="QU14" s="28"/>
      <c r="QV14" s="28"/>
      <c r="QW14" s="28"/>
      <c r="QX14" s="28"/>
      <c r="QY14" s="28"/>
      <c r="QZ14" s="28"/>
      <c r="RA14" s="28"/>
      <c r="RB14" s="28"/>
      <c r="RC14" s="28"/>
      <c r="RD14" s="28"/>
      <c r="RE14" s="28"/>
      <c r="RF14" s="28"/>
      <c r="RG14" s="28"/>
      <c r="RH14" s="28"/>
      <c r="RI14" s="28"/>
      <c r="RJ14" s="28"/>
      <c r="RK14" s="28"/>
      <c r="RL14" s="28"/>
      <c r="RM14" s="28"/>
      <c r="RN14" s="28"/>
      <c r="RO14" s="28"/>
      <c r="RP14" s="28"/>
      <c r="RQ14" s="28"/>
      <c r="RR14" s="28"/>
      <c r="RS14" s="28"/>
      <c r="RT14" s="28"/>
      <c r="RU14" s="28"/>
      <c r="RV14" s="28"/>
      <c r="RW14" s="28"/>
      <c r="RX14" s="28"/>
      <c r="RY14" s="28"/>
      <c r="RZ14" s="28"/>
      <c r="SA14" s="28"/>
      <c r="SB14" s="28"/>
      <c r="SC14" s="28"/>
      <c r="SD14" s="28"/>
      <c r="SE14" s="28"/>
      <c r="SF14" s="28"/>
      <c r="SG14" s="28"/>
      <c r="SH14" s="28"/>
      <c r="SI14" s="28"/>
      <c r="SJ14" s="28"/>
      <c r="SK14" s="28"/>
      <c r="SL14" s="28"/>
      <c r="SM14" s="28"/>
      <c r="SN14" s="28"/>
      <c r="SO14" s="28"/>
      <c r="SP14" s="28"/>
      <c r="SQ14" s="28"/>
      <c r="SR14" s="28"/>
      <c r="SS14" s="28"/>
      <c r="ST14" s="28"/>
      <c r="SU14" s="28"/>
      <c r="SV14" s="28"/>
      <c r="SW14" s="28"/>
      <c r="SX14" s="28"/>
      <c r="SY14" s="28"/>
      <c r="SZ14" s="28"/>
      <c r="TA14" s="28"/>
      <c r="TB14" s="28"/>
      <c r="TC14" s="28"/>
      <c r="TD14" s="28"/>
      <c r="TE14" s="28"/>
      <c r="TF14" s="28"/>
      <c r="TG14" s="28"/>
      <c r="TH14" s="28"/>
      <c r="TI14" s="28"/>
      <c r="TJ14" s="28"/>
      <c r="TK14" s="28"/>
      <c r="TL14" s="28"/>
      <c r="TM14" s="28"/>
      <c r="TN14" s="28"/>
      <c r="TO14" s="28"/>
      <c r="TP14" s="28"/>
      <c r="TQ14" s="28"/>
      <c r="TR14" s="28"/>
      <c r="TS14" s="28"/>
      <c r="TT14" s="28"/>
      <c r="TU14" s="28"/>
      <c r="TV14" s="28"/>
      <c r="TW14" s="28"/>
      <c r="TX14" s="28"/>
      <c r="TY14" s="28"/>
      <c r="TZ14" s="28"/>
      <c r="UA14" s="28"/>
      <c r="UB14" s="28"/>
      <c r="UC14" s="28"/>
      <c r="UD14" s="28"/>
      <c r="UE14" s="28"/>
      <c r="UF14" s="28"/>
      <c r="UG14" s="28"/>
      <c r="UH14" s="28"/>
      <c r="UI14" s="28"/>
      <c r="UJ14" s="28"/>
      <c r="UK14" s="28"/>
      <c r="UL14" s="28"/>
      <c r="UM14" s="28"/>
      <c r="UN14" s="28"/>
      <c r="UO14" s="28"/>
      <c r="UP14" s="28"/>
      <c r="UQ14" s="28"/>
      <c r="UR14" s="28"/>
      <c r="US14" s="28"/>
      <c r="UT14" s="28"/>
      <c r="UU14" s="28"/>
      <c r="UV14" s="28"/>
      <c r="UW14" s="28"/>
      <c r="UX14" s="28"/>
      <c r="UY14" s="28"/>
      <c r="UZ14" s="28"/>
      <c r="VA14" s="28"/>
      <c r="VB14" s="28"/>
      <c r="VC14" s="28"/>
      <c r="VD14" s="28"/>
      <c r="VE14" s="28"/>
      <c r="VF14" s="28"/>
      <c r="VG14" s="28"/>
      <c r="VH14" s="28"/>
      <c r="VI14" s="28"/>
      <c r="VJ14" s="28"/>
      <c r="VK14" s="28"/>
      <c r="VL14" s="28"/>
      <c r="VM14" s="28"/>
      <c r="VN14" s="28"/>
      <c r="VO14" s="28"/>
      <c r="VP14" s="28"/>
      <c r="VQ14" s="28"/>
      <c r="VR14" s="28"/>
      <c r="VS14" s="28"/>
      <c r="VT14" s="28"/>
      <c r="VU14" s="28"/>
      <c r="VV14" s="28"/>
      <c r="VW14" s="28"/>
      <c r="VX14" s="28"/>
      <c r="VY14" s="28"/>
      <c r="VZ14" s="28"/>
      <c r="WA14" s="28"/>
      <c r="WB14" s="28"/>
      <c r="WC14" s="28"/>
      <c r="WD14" s="28"/>
      <c r="WE14" s="28"/>
      <c r="WF14" s="28"/>
      <c r="WG14" s="28"/>
      <c r="WH14" s="28"/>
      <c r="WI14" s="28"/>
      <c r="WJ14" s="28"/>
      <c r="WK14" s="28"/>
      <c r="WL14" s="28"/>
      <c r="WM14" s="28"/>
      <c r="WN14" s="28"/>
      <c r="WO14" s="28"/>
      <c r="WP14" s="28"/>
      <c r="WQ14" s="28"/>
      <c r="WR14" s="28"/>
      <c r="WS14" s="28"/>
      <c r="WT14" s="28"/>
      <c r="WU14" s="28"/>
      <c r="WV14" s="28"/>
      <c r="WW14" s="28"/>
      <c r="WX14" s="28"/>
      <c r="WY14" s="28"/>
      <c r="WZ14" s="28"/>
      <c r="XA14" s="28"/>
      <c r="XB14" s="28"/>
      <c r="XC14" s="28"/>
      <c r="XD14" s="28"/>
      <c r="XE14" s="28"/>
      <c r="XF14" s="28"/>
      <c r="XG14" s="28"/>
      <c r="XH14" s="28"/>
      <c r="XI14" s="28"/>
      <c r="XJ14" s="28"/>
      <c r="XK14" s="28"/>
      <c r="XL14" s="28"/>
      <c r="XM14" s="28"/>
      <c r="XN14" s="28"/>
      <c r="XO14" s="28"/>
      <c r="XP14" s="28"/>
      <c r="XQ14" s="28"/>
      <c r="XR14" s="28"/>
      <c r="XS14" s="28"/>
      <c r="XT14" s="28"/>
      <c r="XU14" s="28"/>
      <c r="XV14" s="28"/>
      <c r="XW14" s="28"/>
      <c r="XX14" s="28"/>
      <c r="XY14" s="28"/>
      <c r="XZ14" s="28"/>
      <c r="YA14" s="28"/>
      <c r="YB14" s="28"/>
      <c r="YC14" s="28"/>
      <c r="YD14" s="28"/>
      <c r="YE14" s="28"/>
      <c r="YF14" s="28"/>
      <c r="YG14" s="28"/>
      <c r="YH14" s="28"/>
      <c r="YI14" s="28"/>
      <c r="YJ14" s="28"/>
      <c r="YK14" s="28"/>
      <c r="YL14" s="28"/>
      <c r="YM14" s="28"/>
      <c r="YN14" s="28"/>
      <c r="YO14" s="28"/>
      <c r="YP14" s="28"/>
      <c r="YQ14" s="28"/>
      <c r="YR14" s="28"/>
      <c r="YS14" s="28"/>
      <c r="YT14" s="28"/>
      <c r="YU14" s="28"/>
      <c r="YV14" s="28"/>
      <c r="YW14" s="28"/>
      <c r="YX14" s="28"/>
      <c r="YY14" s="28"/>
      <c r="YZ14" s="28"/>
      <c r="ZA14" s="28"/>
      <c r="ZB14" s="28"/>
      <c r="ZC14" s="28"/>
      <c r="ZD14" s="28"/>
      <c r="ZE14" s="28"/>
      <c r="ZF14" s="28"/>
      <c r="ZG14" s="28"/>
      <c r="ZH14" s="28"/>
      <c r="ZI14" s="28"/>
      <c r="ZJ14" s="28"/>
      <c r="ZK14" s="28"/>
      <c r="ZL14" s="28"/>
      <c r="ZM14" s="28"/>
      <c r="ZN14" s="28"/>
      <c r="ZO14" s="28"/>
      <c r="ZP14" s="28"/>
      <c r="ZQ14" s="28"/>
      <c r="ZR14" s="28"/>
      <c r="ZS14" s="28"/>
      <c r="ZT14" s="28"/>
      <c r="ZU14" s="28"/>
      <c r="ZV14" s="28"/>
      <c r="ZW14" s="28"/>
      <c r="ZX14" s="28"/>
      <c r="ZY14" s="28"/>
      <c r="ZZ14" s="28"/>
      <c r="AAA14" s="28"/>
      <c r="AAB14" s="28"/>
      <c r="AAC14" s="28"/>
      <c r="AAD14" s="28"/>
      <c r="AAE14" s="28"/>
      <c r="AAF14" s="28"/>
      <c r="AAG14" s="28"/>
      <c r="AAH14" s="28"/>
      <c r="AAI14" s="28"/>
      <c r="AAJ14" s="28"/>
      <c r="AAK14" s="28"/>
      <c r="AAL14" s="28"/>
      <c r="AAM14" s="28"/>
      <c r="AAN14" s="28"/>
      <c r="AAO14" s="28"/>
      <c r="AAP14" s="28"/>
      <c r="AAQ14" s="28"/>
      <c r="AAR14" s="28"/>
      <c r="AAS14" s="28"/>
      <c r="AAT14" s="28"/>
      <c r="AAU14" s="28"/>
      <c r="AAV14" s="28"/>
      <c r="AAW14" s="28"/>
      <c r="AAX14" s="28"/>
      <c r="AAY14" s="28"/>
      <c r="AAZ14" s="28"/>
      <c r="ABA14" s="28"/>
      <c r="ABB14" s="28"/>
      <c r="ABC14" s="28"/>
      <c r="ABD14" s="28"/>
      <c r="ABE14" s="28"/>
      <c r="ABF14" s="28"/>
      <c r="ABG14" s="28"/>
      <c r="ABH14" s="28"/>
      <c r="ABI14" s="28"/>
      <c r="ABJ14" s="28"/>
      <c r="ABK14" s="28"/>
      <c r="ABL14" s="28"/>
      <c r="ABM14" s="28"/>
      <c r="ABN14" s="28"/>
      <c r="ABO14" s="28"/>
      <c r="ABP14" s="28"/>
      <c r="ABQ14" s="28"/>
      <c r="ABR14" s="28"/>
      <c r="ABS14" s="28"/>
      <c r="ABT14" s="28"/>
      <c r="ABU14" s="28"/>
      <c r="ABV14" s="28"/>
      <c r="ABW14" s="28"/>
      <c r="ABX14" s="28"/>
      <c r="ABY14" s="28"/>
      <c r="ABZ14" s="28"/>
      <c r="ACA14" s="28"/>
      <c r="ACB14" s="28"/>
      <c r="ACC14" s="28"/>
      <c r="ACD14" s="28"/>
      <c r="ACE14" s="28"/>
      <c r="ACF14" s="28"/>
      <c r="ACG14" s="28"/>
      <c r="ACH14" s="28"/>
      <c r="ACI14" s="28"/>
      <c r="ACJ14" s="28"/>
      <c r="ACK14" s="28"/>
      <c r="ACL14" s="28"/>
      <c r="ACM14" s="28"/>
      <c r="ACN14" s="28"/>
      <c r="ACO14" s="28"/>
      <c r="ACP14" s="28"/>
      <c r="ACQ14" s="28"/>
      <c r="ACR14" s="28"/>
      <c r="ACS14" s="28"/>
      <c r="ACT14" s="28"/>
      <c r="ACU14" s="28"/>
      <c r="ACV14" s="28"/>
      <c r="ACW14" s="28"/>
      <c r="ACX14" s="28"/>
      <c r="ACY14" s="28"/>
      <c r="ACZ14" s="28"/>
      <c r="ADA14" s="28"/>
      <c r="ADB14" s="28"/>
      <c r="ADC14" s="28"/>
      <c r="ADD14" s="28"/>
      <c r="ADE14" s="28"/>
      <c r="ADF14" s="28"/>
      <c r="ADG14" s="28"/>
      <c r="ADH14" s="28"/>
      <c r="ADI14" s="28"/>
      <c r="ADJ14" s="28"/>
      <c r="ADK14" s="28"/>
      <c r="ADL14" s="28"/>
      <c r="ADM14" s="28"/>
      <c r="ADN14" s="28"/>
      <c r="ADO14" s="28"/>
      <c r="ADP14" s="28"/>
      <c r="ADQ14" s="28"/>
      <c r="ADR14" s="28"/>
      <c r="ADS14" s="28"/>
      <c r="ADT14" s="28"/>
      <c r="ADU14" s="28"/>
      <c r="ADV14" s="28"/>
      <c r="ADW14" s="28"/>
      <c r="ADX14" s="28"/>
      <c r="ADY14" s="28"/>
      <c r="ADZ14" s="28"/>
      <c r="AEA14" s="28"/>
      <c r="AEB14" s="28"/>
      <c r="AEC14" s="28"/>
      <c r="AED14" s="28"/>
      <c r="AEE14" s="28"/>
      <c r="AEF14" s="28"/>
      <c r="AEG14" s="28"/>
      <c r="AEH14" s="28"/>
      <c r="AEI14" s="28"/>
      <c r="AEJ14" s="28"/>
      <c r="AEK14" s="28"/>
      <c r="AEL14" s="28"/>
      <c r="AEM14" s="28"/>
      <c r="AEN14" s="28"/>
      <c r="AEO14" s="28"/>
      <c r="AEP14" s="28"/>
      <c r="AEQ14" s="28"/>
      <c r="AER14" s="28"/>
      <c r="AES14" s="28"/>
      <c r="AET14" s="28"/>
      <c r="AEU14" s="28"/>
      <c r="AEV14" s="28"/>
      <c r="AEW14" s="28"/>
      <c r="AEX14" s="28"/>
      <c r="AEY14" s="28"/>
      <c r="AEZ14" s="28"/>
      <c r="AFA14" s="28"/>
      <c r="AFB14" s="28"/>
      <c r="AFC14" s="28"/>
      <c r="AFD14" s="28"/>
      <c r="AFE14" s="28"/>
      <c r="AFF14" s="28"/>
      <c r="AFG14" s="28"/>
      <c r="AFH14" s="28"/>
      <c r="AFI14" s="28"/>
      <c r="AFJ14" s="28"/>
      <c r="AFK14" s="28"/>
      <c r="AFL14" s="28"/>
      <c r="AFM14" s="28"/>
      <c r="AFN14" s="28"/>
      <c r="AFO14" s="28"/>
      <c r="AFP14" s="28"/>
      <c r="AFQ14" s="28"/>
      <c r="AFR14" s="28"/>
      <c r="AFS14" s="28"/>
      <c r="AFT14" s="28"/>
      <c r="AFU14" s="28"/>
      <c r="AFV14" s="28"/>
      <c r="AFW14" s="28"/>
      <c r="AFX14" s="28"/>
      <c r="AFY14" s="28"/>
      <c r="AFZ14" s="28"/>
      <c r="AGA14" s="28"/>
      <c r="AGB14" s="28"/>
      <c r="AGC14" s="28"/>
      <c r="AGD14" s="28"/>
      <c r="AGE14" s="28"/>
      <c r="AGF14" s="28"/>
      <c r="AGG14" s="28"/>
      <c r="AGH14" s="28"/>
      <c r="AGI14" s="28"/>
      <c r="AGJ14" s="28"/>
      <c r="AGK14" s="28"/>
      <c r="AGL14" s="28"/>
      <c r="AGM14" s="28"/>
      <c r="AGN14" s="28"/>
      <c r="AGO14" s="28"/>
      <c r="AGP14" s="28"/>
      <c r="AGQ14" s="28"/>
      <c r="AGR14" s="28"/>
      <c r="AGS14" s="28"/>
      <c r="AGT14" s="28"/>
      <c r="AGU14" s="28"/>
      <c r="AGV14" s="28"/>
      <c r="AGW14" s="28"/>
      <c r="AGX14" s="28"/>
      <c r="AGY14" s="28"/>
      <c r="AGZ14" s="28"/>
      <c r="AHA14" s="28"/>
      <c r="AHB14" s="28"/>
      <c r="AHC14" s="28"/>
      <c r="AHD14" s="28"/>
      <c r="AHE14" s="28"/>
      <c r="AHF14" s="28"/>
      <c r="AHG14" s="28"/>
      <c r="AHH14" s="28"/>
      <c r="AHI14" s="28"/>
      <c r="AHJ14" s="28"/>
      <c r="AHK14" s="28"/>
      <c r="AHL14" s="28"/>
      <c r="AHM14" s="28"/>
      <c r="AHN14" s="28"/>
      <c r="AHO14" s="28"/>
      <c r="AHP14" s="28"/>
      <c r="AHQ14" s="28"/>
      <c r="AHR14" s="28"/>
      <c r="AHS14" s="28"/>
      <c r="AHT14" s="28"/>
      <c r="AHU14" s="28"/>
      <c r="AHV14" s="28"/>
      <c r="AHW14" s="28"/>
      <c r="AHX14" s="28"/>
      <c r="AHY14" s="28"/>
      <c r="AHZ14" s="28"/>
      <c r="AIA14" s="28"/>
      <c r="AIB14" s="28"/>
      <c r="AIC14" s="28"/>
      <c r="AID14" s="28"/>
      <c r="AIE14" s="28"/>
      <c r="AIF14" s="28"/>
      <c r="AIG14" s="28"/>
      <c r="AIH14" s="28"/>
      <c r="AII14" s="28"/>
      <c r="AIJ14" s="28"/>
      <c r="AIK14" s="28"/>
      <c r="AIL14" s="28"/>
      <c r="AIM14" s="28"/>
      <c r="AIN14" s="28"/>
      <c r="AIO14" s="28"/>
      <c r="AIP14" s="28"/>
      <c r="AIQ14" s="28"/>
      <c r="AIR14" s="28"/>
      <c r="AIS14" s="28"/>
      <c r="AIT14" s="28"/>
      <c r="AIU14" s="28"/>
      <c r="AIV14" s="28"/>
      <c r="AIW14" s="28"/>
      <c r="AIX14" s="28"/>
      <c r="AIY14" s="28"/>
      <c r="AIZ14" s="28"/>
      <c r="AJA14" s="28"/>
      <c r="AJB14" s="28"/>
      <c r="AJC14" s="28"/>
      <c r="AJD14" s="28"/>
      <c r="AJE14" s="28"/>
      <c r="AJF14" s="28"/>
      <c r="AJG14" s="28"/>
      <c r="AJH14" s="28"/>
      <c r="AJI14" s="28"/>
      <c r="AJJ14" s="28"/>
      <c r="AJK14" s="28"/>
      <c r="AJL14" s="28"/>
      <c r="AJM14" s="28"/>
      <c r="AJN14" s="28"/>
      <c r="AJO14" s="28"/>
      <c r="AJP14" s="28"/>
      <c r="AJQ14" s="28"/>
      <c r="AJR14" s="28"/>
      <c r="AJS14" s="28"/>
      <c r="AJT14" s="28"/>
      <c r="AJU14" s="28"/>
      <c r="AJV14" s="28"/>
      <c r="AJW14" s="28"/>
      <c r="AJX14" s="28"/>
      <c r="AJY14" s="28"/>
      <c r="AJZ14" s="28"/>
      <c r="AKA14" s="28"/>
      <c r="AKB14" s="28"/>
      <c r="AKC14" s="28"/>
      <c r="AKD14" s="28"/>
      <c r="AKE14" s="28"/>
      <c r="AKF14" s="28"/>
      <c r="AKG14" s="28"/>
      <c r="AKH14" s="28"/>
      <c r="AKI14" s="28"/>
      <c r="AKJ14" s="28"/>
      <c r="AKK14" s="28"/>
      <c r="AKL14" s="28"/>
      <c r="AKM14" s="28"/>
      <c r="AKN14" s="28"/>
      <c r="AKO14" s="28"/>
      <c r="AKP14" s="28"/>
      <c r="AKQ14" s="28"/>
      <c r="AKR14" s="28"/>
      <c r="AKS14" s="28"/>
      <c r="AKT14" s="28"/>
      <c r="AKU14" s="28"/>
      <c r="AKV14" s="28"/>
      <c r="AKW14" s="28"/>
      <c r="AKX14" s="28"/>
      <c r="AKY14" s="28"/>
      <c r="AKZ14" s="28"/>
      <c r="ALA14" s="28"/>
      <c r="ALB14" s="28"/>
      <c r="ALC14" s="28"/>
      <c r="ALD14" s="28"/>
      <c r="ALE14" s="28"/>
      <c r="ALF14" s="28"/>
      <c r="ALG14" s="28"/>
      <c r="ALH14" s="28"/>
      <c r="ALI14" s="28"/>
      <c r="ALJ14" s="28"/>
      <c r="ALK14" s="28"/>
      <c r="ALL14" s="28"/>
      <c r="ALM14" s="28"/>
      <c r="ALN14" s="28"/>
      <c r="ALO14" s="28"/>
      <c r="ALP14" s="28"/>
      <c r="ALQ14" s="28"/>
      <c r="ALR14" s="28"/>
      <c r="ALS14" s="28"/>
      <c r="ALT14" s="28"/>
      <c r="ALU14" s="28"/>
      <c r="ALV14" s="28"/>
      <c r="ALW14" s="28"/>
      <c r="ALX14" s="28"/>
      <c r="ALY14" s="28"/>
      <c r="ALZ14" s="28"/>
      <c r="AMA14" s="28"/>
      <c r="AMB14" s="28"/>
      <c r="AMC14" s="28"/>
      <c r="AMD14" s="28"/>
      <c r="AME14" s="28"/>
      <c r="AMF14" s="28"/>
    </row>
    <row r="15" spans="1:1020">
      <c r="A15" s="18"/>
      <c r="B15" s="19" t="s">
        <v>17</v>
      </c>
      <c r="C15" s="26"/>
      <c r="D15" s="19"/>
      <c r="E15" s="26"/>
      <c r="F15" s="17"/>
      <c r="G15" s="17"/>
      <c r="H15" s="23">
        <f>C15-C32</f>
        <v>-1</v>
      </c>
      <c r="I15" s="23">
        <f>D15-D32</f>
        <v>0</v>
      </c>
      <c r="J15" s="23">
        <f>E15-E32</f>
        <v>-1</v>
      </c>
      <c r="K15" s="30"/>
      <c r="L15" s="15"/>
      <c r="M15" s="27"/>
      <c r="N15" s="27"/>
      <c r="O15" s="27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  <c r="KH15" s="28"/>
      <c r="KI15" s="28"/>
      <c r="KJ15" s="28"/>
      <c r="KK15" s="28"/>
      <c r="KL15" s="28"/>
      <c r="KM15" s="28"/>
      <c r="KN15" s="28"/>
      <c r="KO15" s="28"/>
      <c r="KP15" s="28"/>
      <c r="KQ15" s="28"/>
      <c r="KR15" s="28"/>
      <c r="KS15" s="28"/>
      <c r="KT15" s="28"/>
      <c r="KU15" s="28"/>
      <c r="KV15" s="28"/>
      <c r="KW15" s="28"/>
      <c r="KX15" s="28"/>
      <c r="KY15" s="28"/>
      <c r="KZ15" s="28"/>
      <c r="LA15" s="28"/>
      <c r="LB15" s="28"/>
      <c r="LC15" s="28"/>
      <c r="LD15" s="28"/>
      <c r="LE15" s="28"/>
      <c r="LF15" s="28"/>
      <c r="LG15" s="28"/>
      <c r="LH15" s="28"/>
      <c r="LI15" s="28"/>
      <c r="LJ15" s="28"/>
      <c r="LK15" s="28"/>
      <c r="LL15" s="28"/>
      <c r="LM15" s="28"/>
      <c r="LN15" s="28"/>
      <c r="LO15" s="28"/>
      <c r="LP15" s="28"/>
      <c r="LQ15" s="28"/>
      <c r="LR15" s="28"/>
      <c r="LS15" s="28"/>
      <c r="LT15" s="28"/>
      <c r="LU15" s="28"/>
      <c r="LV15" s="28"/>
      <c r="LW15" s="28"/>
      <c r="LX15" s="28"/>
      <c r="LY15" s="28"/>
      <c r="LZ15" s="28"/>
      <c r="MA15" s="28"/>
      <c r="MB15" s="28"/>
      <c r="MC15" s="28"/>
      <c r="MD15" s="28"/>
      <c r="ME15" s="28"/>
      <c r="MF15" s="28"/>
      <c r="MG15" s="28"/>
      <c r="MH15" s="28"/>
      <c r="MI15" s="28"/>
      <c r="MJ15" s="28"/>
      <c r="MK15" s="28"/>
      <c r="ML15" s="28"/>
      <c r="MM15" s="28"/>
      <c r="MN15" s="28"/>
      <c r="MO15" s="28"/>
      <c r="MP15" s="28"/>
      <c r="MQ15" s="28"/>
      <c r="MR15" s="28"/>
      <c r="MS15" s="28"/>
      <c r="MT15" s="28"/>
      <c r="MU15" s="28"/>
      <c r="MV15" s="28"/>
      <c r="MW15" s="28"/>
      <c r="MX15" s="28"/>
      <c r="MY15" s="28"/>
      <c r="MZ15" s="28"/>
      <c r="NA15" s="28"/>
      <c r="NB15" s="28"/>
      <c r="NC15" s="28"/>
      <c r="ND15" s="28"/>
      <c r="NE15" s="28"/>
      <c r="NF15" s="28"/>
      <c r="NG15" s="28"/>
      <c r="NH15" s="28"/>
      <c r="NI15" s="28"/>
      <c r="NJ15" s="28"/>
      <c r="NK15" s="28"/>
      <c r="NL15" s="28"/>
      <c r="NM15" s="28"/>
      <c r="NN15" s="28"/>
      <c r="NO15" s="28"/>
      <c r="NP15" s="28"/>
      <c r="NQ15" s="28"/>
      <c r="NR15" s="28"/>
      <c r="NS15" s="28"/>
      <c r="NT15" s="28"/>
      <c r="NU15" s="28"/>
      <c r="NV15" s="28"/>
      <c r="NW15" s="28"/>
      <c r="NX15" s="28"/>
      <c r="NY15" s="28"/>
      <c r="NZ15" s="28"/>
      <c r="OA15" s="28"/>
      <c r="OB15" s="28"/>
      <c r="OC15" s="28"/>
      <c r="OD15" s="28"/>
      <c r="OE15" s="28"/>
      <c r="OF15" s="28"/>
      <c r="OG15" s="28"/>
      <c r="OH15" s="28"/>
      <c r="OI15" s="28"/>
      <c r="OJ15" s="28"/>
      <c r="OK15" s="28"/>
      <c r="OL15" s="28"/>
      <c r="OM15" s="28"/>
      <c r="ON15" s="28"/>
      <c r="OO15" s="28"/>
      <c r="OP15" s="28"/>
      <c r="OQ15" s="28"/>
      <c r="OR15" s="28"/>
      <c r="OS15" s="28"/>
      <c r="OT15" s="28"/>
      <c r="OU15" s="28"/>
      <c r="OV15" s="28"/>
      <c r="OW15" s="28"/>
      <c r="OX15" s="28"/>
      <c r="OY15" s="28"/>
      <c r="OZ15" s="28"/>
      <c r="PA15" s="28"/>
      <c r="PB15" s="28"/>
      <c r="PC15" s="28"/>
      <c r="PD15" s="28"/>
      <c r="PE15" s="28"/>
      <c r="PF15" s="28"/>
      <c r="PG15" s="28"/>
      <c r="PH15" s="28"/>
      <c r="PI15" s="28"/>
      <c r="PJ15" s="28"/>
      <c r="PK15" s="28"/>
      <c r="PL15" s="28"/>
      <c r="PM15" s="28"/>
      <c r="PN15" s="28"/>
      <c r="PO15" s="28"/>
      <c r="PP15" s="28"/>
      <c r="PQ15" s="28"/>
      <c r="PR15" s="28"/>
      <c r="PS15" s="28"/>
      <c r="PT15" s="28"/>
      <c r="PU15" s="28"/>
      <c r="PV15" s="28"/>
      <c r="PW15" s="28"/>
      <c r="PX15" s="28"/>
      <c r="PY15" s="28"/>
      <c r="PZ15" s="28"/>
      <c r="QA15" s="28"/>
      <c r="QB15" s="28"/>
      <c r="QC15" s="28"/>
      <c r="QD15" s="28"/>
      <c r="QE15" s="28"/>
      <c r="QF15" s="28"/>
      <c r="QG15" s="28"/>
      <c r="QH15" s="28"/>
      <c r="QI15" s="28"/>
      <c r="QJ15" s="28"/>
      <c r="QK15" s="28"/>
      <c r="QL15" s="28"/>
      <c r="QM15" s="28"/>
      <c r="QN15" s="28"/>
      <c r="QO15" s="28"/>
      <c r="QP15" s="28"/>
      <c r="QQ15" s="28"/>
      <c r="QR15" s="28"/>
      <c r="QS15" s="28"/>
      <c r="QT15" s="28"/>
      <c r="QU15" s="28"/>
      <c r="QV15" s="28"/>
      <c r="QW15" s="28"/>
      <c r="QX15" s="28"/>
      <c r="QY15" s="28"/>
      <c r="QZ15" s="28"/>
      <c r="RA15" s="28"/>
      <c r="RB15" s="28"/>
      <c r="RC15" s="28"/>
      <c r="RD15" s="28"/>
      <c r="RE15" s="28"/>
      <c r="RF15" s="28"/>
      <c r="RG15" s="28"/>
      <c r="RH15" s="28"/>
      <c r="RI15" s="28"/>
      <c r="RJ15" s="28"/>
      <c r="RK15" s="28"/>
      <c r="RL15" s="28"/>
      <c r="RM15" s="28"/>
      <c r="RN15" s="28"/>
      <c r="RO15" s="28"/>
      <c r="RP15" s="28"/>
      <c r="RQ15" s="28"/>
      <c r="RR15" s="28"/>
      <c r="RS15" s="28"/>
      <c r="RT15" s="28"/>
      <c r="RU15" s="28"/>
      <c r="RV15" s="28"/>
      <c r="RW15" s="28"/>
      <c r="RX15" s="28"/>
      <c r="RY15" s="28"/>
      <c r="RZ15" s="28"/>
      <c r="SA15" s="28"/>
      <c r="SB15" s="28"/>
      <c r="SC15" s="28"/>
      <c r="SD15" s="28"/>
      <c r="SE15" s="28"/>
      <c r="SF15" s="28"/>
      <c r="SG15" s="28"/>
      <c r="SH15" s="28"/>
      <c r="SI15" s="28"/>
      <c r="SJ15" s="28"/>
      <c r="SK15" s="28"/>
      <c r="SL15" s="28"/>
      <c r="SM15" s="28"/>
      <c r="SN15" s="28"/>
      <c r="SO15" s="28"/>
      <c r="SP15" s="28"/>
      <c r="SQ15" s="28"/>
      <c r="SR15" s="28"/>
      <c r="SS15" s="28"/>
      <c r="ST15" s="28"/>
      <c r="SU15" s="28"/>
      <c r="SV15" s="28"/>
      <c r="SW15" s="28"/>
      <c r="SX15" s="28"/>
      <c r="SY15" s="28"/>
      <c r="SZ15" s="28"/>
      <c r="TA15" s="28"/>
      <c r="TB15" s="28"/>
      <c r="TC15" s="28"/>
      <c r="TD15" s="28"/>
      <c r="TE15" s="28"/>
      <c r="TF15" s="28"/>
      <c r="TG15" s="28"/>
      <c r="TH15" s="28"/>
      <c r="TI15" s="28"/>
      <c r="TJ15" s="28"/>
      <c r="TK15" s="28"/>
      <c r="TL15" s="28"/>
      <c r="TM15" s="28"/>
      <c r="TN15" s="28"/>
      <c r="TO15" s="28"/>
      <c r="TP15" s="28"/>
      <c r="TQ15" s="28"/>
      <c r="TR15" s="28"/>
      <c r="TS15" s="28"/>
      <c r="TT15" s="28"/>
      <c r="TU15" s="28"/>
      <c r="TV15" s="28"/>
      <c r="TW15" s="28"/>
      <c r="TX15" s="28"/>
      <c r="TY15" s="28"/>
      <c r="TZ15" s="28"/>
      <c r="UA15" s="28"/>
      <c r="UB15" s="28"/>
      <c r="UC15" s="28"/>
      <c r="UD15" s="28"/>
      <c r="UE15" s="28"/>
      <c r="UF15" s="28"/>
      <c r="UG15" s="28"/>
      <c r="UH15" s="28"/>
      <c r="UI15" s="28"/>
      <c r="UJ15" s="28"/>
      <c r="UK15" s="28"/>
      <c r="UL15" s="28"/>
      <c r="UM15" s="28"/>
      <c r="UN15" s="28"/>
      <c r="UO15" s="28"/>
      <c r="UP15" s="28"/>
      <c r="UQ15" s="28"/>
      <c r="UR15" s="28"/>
      <c r="US15" s="28"/>
      <c r="UT15" s="28"/>
      <c r="UU15" s="28"/>
      <c r="UV15" s="28"/>
      <c r="UW15" s="28"/>
      <c r="UX15" s="28"/>
      <c r="UY15" s="28"/>
      <c r="UZ15" s="28"/>
      <c r="VA15" s="28"/>
      <c r="VB15" s="28"/>
      <c r="VC15" s="28"/>
      <c r="VD15" s="28"/>
      <c r="VE15" s="28"/>
      <c r="VF15" s="28"/>
      <c r="VG15" s="28"/>
      <c r="VH15" s="28"/>
      <c r="VI15" s="28"/>
      <c r="VJ15" s="28"/>
      <c r="VK15" s="28"/>
      <c r="VL15" s="28"/>
      <c r="VM15" s="28"/>
      <c r="VN15" s="28"/>
      <c r="VO15" s="28"/>
      <c r="VP15" s="28"/>
      <c r="VQ15" s="28"/>
      <c r="VR15" s="28"/>
      <c r="VS15" s="28"/>
      <c r="VT15" s="28"/>
      <c r="VU15" s="28"/>
      <c r="VV15" s="28"/>
      <c r="VW15" s="28"/>
      <c r="VX15" s="28"/>
      <c r="VY15" s="28"/>
      <c r="VZ15" s="28"/>
      <c r="WA15" s="28"/>
      <c r="WB15" s="28"/>
      <c r="WC15" s="28"/>
      <c r="WD15" s="28"/>
      <c r="WE15" s="28"/>
      <c r="WF15" s="28"/>
      <c r="WG15" s="28"/>
      <c r="WH15" s="28"/>
      <c r="WI15" s="28"/>
      <c r="WJ15" s="28"/>
      <c r="WK15" s="28"/>
      <c r="WL15" s="28"/>
      <c r="WM15" s="28"/>
      <c r="WN15" s="28"/>
      <c r="WO15" s="28"/>
      <c r="WP15" s="28"/>
      <c r="WQ15" s="28"/>
      <c r="WR15" s="28"/>
      <c r="WS15" s="28"/>
      <c r="WT15" s="28"/>
      <c r="WU15" s="28"/>
      <c r="WV15" s="28"/>
      <c r="WW15" s="28"/>
      <c r="WX15" s="28"/>
      <c r="WY15" s="28"/>
      <c r="WZ15" s="28"/>
      <c r="XA15" s="28"/>
      <c r="XB15" s="28"/>
      <c r="XC15" s="28"/>
      <c r="XD15" s="28"/>
      <c r="XE15" s="28"/>
      <c r="XF15" s="28"/>
      <c r="XG15" s="28"/>
      <c r="XH15" s="28"/>
      <c r="XI15" s="28"/>
      <c r="XJ15" s="28"/>
      <c r="XK15" s="28"/>
      <c r="XL15" s="28"/>
      <c r="XM15" s="28"/>
      <c r="XN15" s="28"/>
      <c r="XO15" s="28"/>
      <c r="XP15" s="28"/>
      <c r="XQ15" s="28"/>
      <c r="XR15" s="28"/>
      <c r="XS15" s="28"/>
      <c r="XT15" s="28"/>
      <c r="XU15" s="28"/>
      <c r="XV15" s="28"/>
      <c r="XW15" s="28"/>
      <c r="XX15" s="28"/>
      <c r="XY15" s="28"/>
      <c r="XZ15" s="28"/>
      <c r="YA15" s="28"/>
      <c r="YB15" s="28"/>
      <c r="YC15" s="28"/>
      <c r="YD15" s="28"/>
      <c r="YE15" s="28"/>
      <c r="YF15" s="28"/>
      <c r="YG15" s="28"/>
      <c r="YH15" s="28"/>
      <c r="YI15" s="28"/>
      <c r="YJ15" s="28"/>
      <c r="YK15" s="28"/>
      <c r="YL15" s="28"/>
      <c r="YM15" s="28"/>
      <c r="YN15" s="28"/>
      <c r="YO15" s="28"/>
      <c r="YP15" s="28"/>
      <c r="YQ15" s="28"/>
      <c r="YR15" s="28"/>
      <c r="YS15" s="28"/>
      <c r="YT15" s="28"/>
      <c r="YU15" s="28"/>
      <c r="YV15" s="28"/>
      <c r="YW15" s="28"/>
      <c r="YX15" s="28"/>
      <c r="YY15" s="28"/>
      <c r="YZ15" s="28"/>
      <c r="ZA15" s="28"/>
      <c r="ZB15" s="28"/>
      <c r="ZC15" s="28"/>
      <c r="ZD15" s="28"/>
      <c r="ZE15" s="28"/>
      <c r="ZF15" s="28"/>
      <c r="ZG15" s="28"/>
      <c r="ZH15" s="28"/>
      <c r="ZI15" s="28"/>
      <c r="ZJ15" s="28"/>
      <c r="ZK15" s="28"/>
      <c r="ZL15" s="28"/>
      <c r="ZM15" s="28"/>
      <c r="ZN15" s="28"/>
      <c r="ZO15" s="28"/>
      <c r="ZP15" s="28"/>
      <c r="ZQ15" s="28"/>
      <c r="ZR15" s="28"/>
      <c r="ZS15" s="28"/>
      <c r="ZT15" s="28"/>
      <c r="ZU15" s="28"/>
      <c r="ZV15" s="28"/>
      <c r="ZW15" s="28"/>
      <c r="ZX15" s="28"/>
      <c r="ZY15" s="28"/>
      <c r="ZZ15" s="28"/>
      <c r="AAA15" s="28"/>
      <c r="AAB15" s="28"/>
      <c r="AAC15" s="28"/>
      <c r="AAD15" s="28"/>
      <c r="AAE15" s="28"/>
      <c r="AAF15" s="28"/>
      <c r="AAG15" s="28"/>
      <c r="AAH15" s="28"/>
      <c r="AAI15" s="28"/>
      <c r="AAJ15" s="28"/>
      <c r="AAK15" s="28"/>
      <c r="AAL15" s="28"/>
      <c r="AAM15" s="28"/>
      <c r="AAN15" s="28"/>
      <c r="AAO15" s="28"/>
      <c r="AAP15" s="28"/>
      <c r="AAQ15" s="28"/>
      <c r="AAR15" s="28"/>
      <c r="AAS15" s="28"/>
      <c r="AAT15" s="28"/>
      <c r="AAU15" s="28"/>
      <c r="AAV15" s="28"/>
      <c r="AAW15" s="28"/>
      <c r="AAX15" s="28"/>
      <c r="AAY15" s="28"/>
      <c r="AAZ15" s="28"/>
      <c r="ABA15" s="28"/>
      <c r="ABB15" s="28"/>
      <c r="ABC15" s="28"/>
      <c r="ABD15" s="28"/>
      <c r="ABE15" s="28"/>
      <c r="ABF15" s="28"/>
      <c r="ABG15" s="28"/>
      <c r="ABH15" s="28"/>
      <c r="ABI15" s="28"/>
      <c r="ABJ15" s="28"/>
      <c r="ABK15" s="28"/>
      <c r="ABL15" s="28"/>
      <c r="ABM15" s="28"/>
      <c r="ABN15" s="28"/>
      <c r="ABO15" s="28"/>
      <c r="ABP15" s="28"/>
      <c r="ABQ15" s="28"/>
      <c r="ABR15" s="28"/>
      <c r="ABS15" s="28"/>
      <c r="ABT15" s="28"/>
      <c r="ABU15" s="28"/>
      <c r="ABV15" s="28"/>
      <c r="ABW15" s="28"/>
      <c r="ABX15" s="28"/>
      <c r="ABY15" s="28"/>
      <c r="ABZ15" s="28"/>
      <c r="ACA15" s="28"/>
      <c r="ACB15" s="28"/>
      <c r="ACC15" s="28"/>
      <c r="ACD15" s="28"/>
      <c r="ACE15" s="28"/>
      <c r="ACF15" s="28"/>
      <c r="ACG15" s="28"/>
      <c r="ACH15" s="28"/>
      <c r="ACI15" s="28"/>
      <c r="ACJ15" s="28"/>
      <c r="ACK15" s="28"/>
      <c r="ACL15" s="28"/>
      <c r="ACM15" s="28"/>
      <c r="ACN15" s="28"/>
      <c r="ACO15" s="28"/>
      <c r="ACP15" s="28"/>
      <c r="ACQ15" s="28"/>
      <c r="ACR15" s="28"/>
      <c r="ACS15" s="28"/>
      <c r="ACT15" s="28"/>
      <c r="ACU15" s="28"/>
      <c r="ACV15" s="28"/>
      <c r="ACW15" s="28"/>
      <c r="ACX15" s="28"/>
      <c r="ACY15" s="28"/>
      <c r="ACZ15" s="28"/>
      <c r="ADA15" s="28"/>
      <c r="ADB15" s="28"/>
      <c r="ADC15" s="28"/>
      <c r="ADD15" s="28"/>
      <c r="ADE15" s="28"/>
      <c r="ADF15" s="28"/>
      <c r="ADG15" s="28"/>
      <c r="ADH15" s="28"/>
      <c r="ADI15" s="28"/>
      <c r="ADJ15" s="28"/>
      <c r="ADK15" s="28"/>
      <c r="ADL15" s="28"/>
      <c r="ADM15" s="28"/>
      <c r="ADN15" s="28"/>
      <c r="ADO15" s="28"/>
      <c r="ADP15" s="28"/>
      <c r="ADQ15" s="28"/>
      <c r="ADR15" s="28"/>
      <c r="ADS15" s="28"/>
      <c r="ADT15" s="28"/>
      <c r="ADU15" s="28"/>
      <c r="ADV15" s="28"/>
      <c r="ADW15" s="28"/>
      <c r="ADX15" s="28"/>
      <c r="ADY15" s="28"/>
      <c r="ADZ15" s="28"/>
      <c r="AEA15" s="28"/>
      <c r="AEB15" s="28"/>
      <c r="AEC15" s="28"/>
      <c r="AED15" s="28"/>
      <c r="AEE15" s="28"/>
      <c r="AEF15" s="28"/>
      <c r="AEG15" s="28"/>
      <c r="AEH15" s="28"/>
      <c r="AEI15" s="28"/>
      <c r="AEJ15" s="28"/>
      <c r="AEK15" s="28"/>
      <c r="AEL15" s="28"/>
      <c r="AEM15" s="28"/>
      <c r="AEN15" s="28"/>
      <c r="AEO15" s="28"/>
      <c r="AEP15" s="28"/>
      <c r="AEQ15" s="28"/>
      <c r="AER15" s="28"/>
      <c r="AES15" s="28"/>
      <c r="AET15" s="28"/>
      <c r="AEU15" s="28"/>
      <c r="AEV15" s="28"/>
      <c r="AEW15" s="28"/>
      <c r="AEX15" s="28"/>
      <c r="AEY15" s="28"/>
      <c r="AEZ15" s="28"/>
      <c r="AFA15" s="28"/>
      <c r="AFB15" s="28"/>
      <c r="AFC15" s="28"/>
      <c r="AFD15" s="28"/>
      <c r="AFE15" s="28"/>
      <c r="AFF15" s="28"/>
      <c r="AFG15" s="28"/>
      <c r="AFH15" s="28"/>
      <c r="AFI15" s="28"/>
      <c r="AFJ15" s="28"/>
      <c r="AFK15" s="28"/>
      <c r="AFL15" s="28"/>
      <c r="AFM15" s="28"/>
      <c r="AFN15" s="28"/>
      <c r="AFO15" s="28"/>
      <c r="AFP15" s="28"/>
      <c r="AFQ15" s="28"/>
      <c r="AFR15" s="28"/>
      <c r="AFS15" s="28"/>
      <c r="AFT15" s="28"/>
      <c r="AFU15" s="28"/>
      <c r="AFV15" s="28"/>
      <c r="AFW15" s="28"/>
      <c r="AFX15" s="28"/>
      <c r="AFY15" s="28"/>
      <c r="AFZ15" s="28"/>
      <c r="AGA15" s="28"/>
      <c r="AGB15" s="28"/>
      <c r="AGC15" s="28"/>
      <c r="AGD15" s="28"/>
      <c r="AGE15" s="28"/>
      <c r="AGF15" s="28"/>
      <c r="AGG15" s="28"/>
      <c r="AGH15" s="28"/>
      <c r="AGI15" s="28"/>
      <c r="AGJ15" s="28"/>
      <c r="AGK15" s="28"/>
      <c r="AGL15" s="28"/>
      <c r="AGM15" s="28"/>
      <c r="AGN15" s="28"/>
      <c r="AGO15" s="28"/>
      <c r="AGP15" s="28"/>
      <c r="AGQ15" s="28"/>
      <c r="AGR15" s="28"/>
      <c r="AGS15" s="28"/>
      <c r="AGT15" s="28"/>
      <c r="AGU15" s="28"/>
      <c r="AGV15" s="28"/>
      <c r="AGW15" s="28"/>
      <c r="AGX15" s="28"/>
      <c r="AGY15" s="28"/>
      <c r="AGZ15" s="28"/>
      <c r="AHA15" s="28"/>
      <c r="AHB15" s="28"/>
      <c r="AHC15" s="28"/>
      <c r="AHD15" s="28"/>
      <c r="AHE15" s="28"/>
      <c r="AHF15" s="28"/>
      <c r="AHG15" s="28"/>
      <c r="AHH15" s="28"/>
      <c r="AHI15" s="28"/>
      <c r="AHJ15" s="28"/>
      <c r="AHK15" s="28"/>
      <c r="AHL15" s="28"/>
      <c r="AHM15" s="28"/>
      <c r="AHN15" s="28"/>
      <c r="AHO15" s="28"/>
      <c r="AHP15" s="28"/>
      <c r="AHQ15" s="28"/>
      <c r="AHR15" s="28"/>
      <c r="AHS15" s="28"/>
      <c r="AHT15" s="28"/>
      <c r="AHU15" s="28"/>
      <c r="AHV15" s="28"/>
      <c r="AHW15" s="28"/>
      <c r="AHX15" s="28"/>
      <c r="AHY15" s="28"/>
      <c r="AHZ15" s="28"/>
      <c r="AIA15" s="28"/>
      <c r="AIB15" s="28"/>
      <c r="AIC15" s="28"/>
      <c r="AID15" s="28"/>
      <c r="AIE15" s="28"/>
      <c r="AIF15" s="28"/>
      <c r="AIG15" s="28"/>
      <c r="AIH15" s="28"/>
      <c r="AII15" s="28"/>
      <c r="AIJ15" s="28"/>
      <c r="AIK15" s="28"/>
      <c r="AIL15" s="28"/>
      <c r="AIM15" s="28"/>
      <c r="AIN15" s="28"/>
      <c r="AIO15" s="28"/>
      <c r="AIP15" s="28"/>
      <c r="AIQ15" s="28"/>
      <c r="AIR15" s="28"/>
      <c r="AIS15" s="28"/>
      <c r="AIT15" s="28"/>
      <c r="AIU15" s="28"/>
      <c r="AIV15" s="28"/>
      <c r="AIW15" s="28"/>
      <c r="AIX15" s="28"/>
      <c r="AIY15" s="28"/>
      <c r="AIZ15" s="28"/>
      <c r="AJA15" s="28"/>
      <c r="AJB15" s="28"/>
      <c r="AJC15" s="28"/>
      <c r="AJD15" s="28"/>
      <c r="AJE15" s="28"/>
      <c r="AJF15" s="28"/>
      <c r="AJG15" s="28"/>
      <c r="AJH15" s="28"/>
      <c r="AJI15" s="28"/>
      <c r="AJJ15" s="28"/>
      <c r="AJK15" s="28"/>
      <c r="AJL15" s="28"/>
      <c r="AJM15" s="28"/>
      <c r="AJN15" s="28"/>
      <c r="AJO15" s="28"/>
      <c r="AJP15" s="28"/>
      <c r="AJQ15" s="28"/>
      <c r="AJR15" s="28"/>
      <c r="AJS15" s="28"/>
      <c r="AJT15" s="28"/>
      <c r="AJU15" s="28"/>
      <c r="AJV15" s="28"/>
      <c r="AJW15" s="28"/>
      <c r="AJX15" s="28"/>
      <c r="AJY15" s="28"/>
      <c r="AJZ15" s="28"/>
      <c r="AKA15" s="28"/>
      <c r="AKB15" s="28"/>
      <c r="AKC15" s="28"/>
      <c r="AKD15" s="28"/>
      <c r="AKE15" s="28"/>
      <c r="AKF15" s="28"/>
      <c r="AKG15" s="28"/>
      <c r="AKH15" s="28"/>
      <c r="AKI15" s="28"/>
      <c r="AKJ15" s="28"/>
      <c r="AKK15" s="28"/>
      <c r="AKL15" s="28"/>
      <c r="AKM15" s="28"/>
      <c r="AKN15" s="28"/>
      <c r="AKO15" s="28"/>
      <c r="AKP15" s="28"/>
      <c r="AKQ15" s="28"/>
      <c r="AKR15" s="28"/>
      <c r="AKS15" s="28"/>
      <c r="AKT15" s="28"/>
      <c r="AKU15" s="28"/>
      <c r="AKV15" s="28"/>
      <c r="AKW15" s="28"/>
      <c r="AKX15" s="28"/>
      <c r="AKY15" s="28"/>
      <c r="AKZ15" s="28"/>
      <c r="ALA15" s="28"/>
      <c r="ALB15" s="28"/>
      <c r="ALC15" s="28"/>
      <c r="ALD15" s="28"/>
      <c r="ALE15" s="28"/>
      <c r="ALF15" s="28"/>
      <c r="ALG15" s="28"/>
      <c r="ALH15" s="28"/>
      <c r="ALI15" s="28"/>
      <c r="ALJ15" s="28"/>
      <c r="ALK15" s="28"/>
      <c r="ALL15" s="28"/>
      <c r="ALM15" s="28"/>
      <c r="ALN15" s="28"/>
      <c r="ALO15" s="28"/>
      <c r="ALP15" s="28"/>
      <c r="ALQ15" s="28"/>
      <c r="ALR15" s="28"/>
      <c r="ALS15" s="28"/>
      <c r="ALT15" s="28"/>
      <c r="ALU15" s="28"/>
      <c r="ALV15" s="28"/>
      <c r="ALW15" s="28"/>
      <c r="ALX15" s="28"/>
      <c r="ALY15" s="28"/>
      <c r="ALZ15" s="28"/>
      <c r="AMA15" s="28"/>
      <c r="AMB15" s="28"/>
      <c r="AMC15" s="28"/>
      <c r="AMD15" s="28"/>
      <c r="AME15" s="28"/>
      <c r="AMF15" s="28"/>
    </row>
    <row r="16" spans="1:1020">
      <c r="A16" s="8" t="s">
        <v>18</v>
      </c>
      <c r="C16" s="34">
        <f>SUM(C5:C15)</f>
        <v>470</v>
      </c>
      <c r="D16" s="35">
        <f>SUM(D5:D15)</f>
        <v>404.97</v>
      </c>
      <c r="E16" s="34">
        <f>SUM(E5:E15)</f>
        <v>393.1</v>
      </c>
      <c r="F16" s="17"/>
      <c r="G16" s="17"/>
      <c r="H16" s="23">
        <f>C16-C34</f>
        <v>-104.20000000000005</v>
      </c>
      <c r="I16" s="23">
        <f>D16-D34</f>
        <v>-42.66399999999993</v>
      </c>
      <c r="J16" s="23">
        <f>E16-E34</f>
        <v>-104.69999999999999</v>
      </c>
      <c r="K16" s="30"/>
      <c r="L16" s="15"/>
      <c r="M16" s="2"/>
      <c r="N16" s="2"/>
      <c r="O16" s="2"/>
    </row>
    <row r="17" spans="1:15">
      <c r="E17" s="36"/>
      <c r="F17" s="37"/>
      <c r="G17" s="37"/>
      <c r="H17" s="37"/>
      <c r="I17" s="37"/>
      <c r="J17" s="38"/>
      <c r="K17" s="30"/>
      <c r="L17" s="30"/>
      <c r="M17" s="2"/>
      <c r="N17" s="2"/>
      <c r="O17" s="2"/>
    </row>
    <row r="18" spans="1:15">
      <c r="E18" s="36"/>
      <c r="F18" s="37"/>
      <c r="G18" s="37"/>
      <c r="H18" s="35"/>
      <c r="I18" s="35"/>
      <c r="J18" s="35"/>
      <c r="K18" s="30"/>
      <c r="L18" s="30"/>
      <c r="M18" s="2"/>
      <c r="N18" s="2"/>
      <c r="O18" s="2"/>
    </row>
    <row r="19" spans="1:15">
      <c r="A19" s="14" t="s">
        <v>19</v>
      </c>
      <c r="B19" s="39"/>
      <c r="C19" s="39"/>
      <c r="D19" s="39"/>
      <c r="E19" s="36"/>
      <c r="F19" s="40"/>
      <c r="G19" s="40"/>
      <c r="H19" s="40"/>
      <c r="I19" s="40"/>
      <c r="J19" s="38"/>
      <c r="K19" s="30"/>
      <c r="L19" s="30"/>
      <c r="M19" s="2"/>
      <c r="N19" s="2"/>
      <c r="O19" s="2"/>
    </row>
    <row r="20" spans="1:15">
      <c r="A20" s="18">
        <v>4015</v>
      </c>
      <c r="B20" s="19" t="s">
        <v>20</v>
      </c>
      <c r="C20" s="26">
        <v>7.5</v>
      </c>
      <c r="D20" s="19">
        <v>8.6560000000000006</v>
      </c>
      <c r="E20" s="26">
        <v>7.5</v>
      </c>
      <c r="F20" s="17"/>
      <c r="G20" s="17"/>
      <c r="H20" s="17"/>
      <c r="I20" s="17"/>
      <c r="J20" s="38"/>
      <c r="K20" s="30"/>
      <c r="L20" s="30"/>
      <c r="M20" s="2"/>
      <c r="N20" s="2"/>
      <c r="O20" s="2"/>
    </row>
    <row r="21" spans="1:15">
      <c r="A21" s="29">
        <v>4020</v>
      </c>
      <c r="B21" s="19" t="s">
        <v>21</v>
      </c>
      <c r="C21" s="26">
        <v>2.9</v>
      </c>
      <c r="D21" s="224"/>
      <c r="E21" s="26">
        <v>2.9</v>
      </c>
      <c r="F21" s="16"/>
      <c r="G21" s="17"/>
      <c r="H21" s="17"/>
      <c r="I21" s="17"/>
      <c r="J21" s="38"/>
      <c r="K21" s="30"/>
      <c r="L21" s="30"/>
      <c r="M21" s="2"/>
      <c r="N21" s="2"/>
      <c r="O21" s="2"/>
    </row>
    <row r="22" spans="1:15">
      <c r="A22" s="29">
        <v>4030</v>
      </c>
      <c r="B22" s="19" t="s">
        <v>22</v>
      </c>
      <c r="C22" s="26">
        <v>5</v>
      </c>
      <c r="D22" s="19">
        <v>0.45</v>
      </c>
      <c r="E22" s="26">
        <v>5</v>
      </c>
      <c r="F22" s="16"/>
      <c r="G22" s="17"/>
      <c r="H22" s="17"/>
      <c r="I22" s="17"/>
      <c r="J22" s="38"/>
      <c r="K22" s="31"/>
      <c r="L22" s="30"/>
      <c r="M22" s="2"/>
      <c r="N22" s="2"/>
      <c r="O22" s="2"/>
    </row>
    <row r="23" spans="1:15">
      <c r="A23" s="29">
        <v>4132</v>
      </c>
      <c r="B23" s="19" t="s">
        <v>23</v>
      </c>
      <c r="C23" s="26"/>
      <c r="D23" s="19"/>
      <c r="E23" s="26"/>
      <c r="F23" s="17"/>
      <c r="G23" s="17"/>
      <c r="H23" s="17"/>
      <c r="I23" s="17"/>
      <c r="J23" s="11"/>
      <c r="K23" s="30"/>
      <c r="L23" s="30"/>
      <c r="M23" s="2"/>
      <c r="N23" s="2"/>
      <c r="O23" s="2"/>
    </row>
    <row r="24" spans="1:15">
      <c r="A24" s="29">
        <v>4171</v>
      </c>
      <c r="B24" s="19" t="s">
        <v>8</v>
      </c>
      <c r="C24" s="26">
        <v>54.8</v>
      </c>
      <c r="D24" s="19">
        <v>58.533000000000001</v>
      </c>
      <c r="E24" s="26">
        <v>38.4</v>
      </c>
      <c r="F24" s="17"/>
      <c r="G24" s="17"/>
      <c r="H24" s="17"/>
      <c r="I24" s="17"/>
      <c r="J24" s="38"/>
      <c r="K24" s="30"/>
      <c r="L24" s="30"/>
      <c r="M24" s="2"/>
      <c r="N24" s="2"/>
      <c r="O24" s="2"/>
    </row>
    <row r="25" spans="1:15">
      <c r="A25" s="29">
        <v>4172</v>
      </c>
      <c r="B25" s="19" t="s">
        <v>9</v>
      </c>
      <c r="C25" s="26">
        <v>83.9</v>
      </c>
      <c r="D25" s="224">
        <v>73.105999999999995</v>
      </c>
      <c r="E25" s="26">
        <v>85.9</v>
      </c>
      <c r="F25" s="17"/>
      <c r="G25" s="17"/>
      <c r="H25" s="17"/>
      <c r="I25" s="17"/>
      <c r="J25" s="41"/>
      <c r="K25" s="30"/>
      <c r="L25" s="30"/>
      <c r="M25" s="2"/>
      <c r="N25" s="2"/>
      <c r="O25" s="2"/>
    </row>
    <row r="26" spans="1:15">
      <c r="A26" s="29">
        <v>4173</v>
      </c>
      <c r="B26" s="19" t="s">
        <v>10</v>
      </c>
      <c r="C26" s="26">
        <v>68.900000000000006</v>
      </c>
      <c r="D26" s="19">
        <v>39.893999999999998</v>
      </c>
      <c r="E26" s="26">
        <v>39</v>
      </c>
      <c r="F26" s="17"/>
      <c r="G26" s="17"/>
      <c r="H26" s="17"/>
      <c r="I26" s="17"/>
      <c r="J26" s="41"/>
      <c r="K26" s="30"/>
      <c r="L26" s="30"/>
      <c r="M26" s="2"/>
      <c r="N26" s="2"/>
      <c r="O26" s="2"/>
    </row>
    <row r="27" spans="1:15">
      <c r="A27" s="29">
        <v>4174</v>
      </c>
      <c r="B27" s="19" t="s">
        <v>11</v>
      </c>
      <c r="C27" s="26">
        <v>125</v>
      </c>
      <c r="D27" s="19">
        <v>105.779</v>
      </c>
      <c r="E27" s="26">
        <v>118.9</v>
      </c>
      <c r="F27" s="17"/>
      <c r="G27" s="17"/>
      <c r="H27" s="17"/>
      <c r="I27" s="17"/>
      <c r="J27" s="38"/>
      <c r="K27" s="30"/>
      <c r="L27" s="30"/>
      <c r="M27" s="2"/>
      <c r="N27" s="2"/>
      <c r="O27" s="2"/>
    </row>
    <row r="28" spans="1:15">
      <c r="A28" s="18">
        <v>4175</v>
      </c>
      <c r="B28" s="19" t="s">
        <v>12</v>
      </c>
      <c r="C28" s="26">
        <v>100</v>
      </c>
      <c r="D28" s="19">
        <v>98.977000000000004</v>
      </c>
      <c r="E28" s="26">
        <v>81.7</v>
      </c>
      <c r="F28" s="17"/>
      <c r="G28" s="17"/>
      <c r="H28" s="17"/>
      <c r="I28" s="17"/>
      <c r="J28" s="38"/>
      <c r="K28" s="30"/>
      <c r="L28" s="30"/>
      <c r="M28" s="2"/>
      <c r="N28" s="2"/>
      <c r="O28" s="2"/>
    </row>
    <row r="29" spans="1:15">
      <c r="A29" s="18"/>
      <c r="B29" s="19" t="s">
        <v>380</v>
      </c>
      <c r="C29" s="26">
        <v>1.2</v>
      </c>
      <c r="D29" s="19"/>
      <c r="E29" s="26"/>
      <c r="F29" s="17"/>
      <c r="G29" s="17"/>
      <c r="H29" s="17"/>
      <c r="I29" s="17"/>
      <c r="J29" s="38"/>
      <c r="K29" s="30"/>
      <c r="L29" s="30"/>
      <c r="M29" s="2"/>
      <c r="N29" s="2"/>
      <c r="O29" s="2"/>
    </row>
    <row r="30" spans="1:15">
      <c r="A30" s="29">
        <v>4177</v>
      </c>
      <c r="B30" s="19" t="s">
        <v>13</v>
      </c>
      <c r="C30" s="26">
        <v>15.5</v>
      </c>
      <c r="D30" s="224">
        <v>4.4000000000000004</v>
      </c>
      <c r="E30" s="26">
        <v>15.5</v>
      </c>
      <c r="F30" s="223" t="s">
        <v>337</v>
      </c>
      <c r="G30" s="17"/>
      <c r="H30" s="17"/>
      <c r="I30" s="17"/>
      <c r="J30" s="41"/>
      <c r="K30" s="30" t="s">
        <v>25</v>
      </c>
      <c r="L30" s="30"/>
      <c r="M30" s="2"/>
      <c r="N30" s="2"/>
      <c r="O30" s="2"/>
    </row>
    <row r="31" spans="1:15" s="4" customFormat="1">
      <c r="A31" s="29">
        <v>4178</v>
      </c>
      <c r="B31" s="19" t="s">
        <v>14</v>
      </c>
      <c r="C31" s="26">
        <v>78.5</v>
      </c>
      <c r="D31" s="19">
        <v>57.838999999999999</v>
      </c>
      <c r="E31" s="26">
        <v>72</v>
      </c>
      <c r="F31" s="17"/>
      <c r="G31" s="17"/>
      <c r="H31" s="17"/>
      <c r="I31" s="17"/>
      <c r="J31" s="41"/>
      <c r="K31" s="30"/>
      <c r="L31" s="30"/>
      <c r="M31" s="2"/>
      <c r="N31" s="2"/>
      <c r="O31" s="2"/>
    </row>
    <row r="32" spans="1:15" s="4" customFormat="1">
      <c r="A32" s="18">
        <v>4180</v>
      </c>
      <c r="B32" s="19" t="s">
        <v>26</v>
      </c>
      <c r="C32" s="26">
        <v>1</v>
      </c>
      <c r="D32" s="19">
        <v>0</v>
      </c>
      <c r="E32" s="26">
        <v>1</v>
      </c>
      <c r="F32" s="17"/>
      <c r="G32" s="17"/>
      <c r="H32" s="17"/>
      <c r="I32" s="17"/>
      <c r="J32" s="41"/>
      <c r="K32" s="30"/>
      <c r="L32" s="30"/>
      <c r="M32" s="2"/>
      <c r="N32" s="2"/>
      <c r="O32" s="2"/>
    </row>
    <row r="33" spans="1:15" s="4" customFormat="1">
      <c r="A33" s="18">
        <v>7610</v>
      </c>
      <c r="B33" s="19" t="s">
        <v>27</v>
      </c>
      <c r="C33" s="26">
        <v>30</v>
      </c>
      <c r="D33" s="19">
        <v>0</v>
      </c>
      <c r="E33" s="26">
        <v>30</v>
      </c>
      <c r="F33" s="42"/>
      <c r="G33" s="42"/>
      <c r="H33" s="42"/>
      <c r="I33" s="42"/>
      <c r="J33" s="41"/>
      <c r="K33" s="43"/>
      <c r="L33" s="30"/>
      <c r="M33" s="2"/>
      <c r="N33" s="2"/>
      <c r="O33" s="2"/>
    </row>
    <row r="34" spans="1:15" s="4" customFormat="1">
      <c r="A34" s="8" t="s">
        <v>28</v>
      </c>
      <c r="C34" s="44">
        <f>SUM(C20:C33)</f>
        <v>574.20000000000005</v>
      </c>
      <c r="D34" s="45">
        <f>SUM(D20:D33)</f>
        <v>447.63399999999996</v>
      </c>
      <c r="E34" s="44">
        <f>SUM(E20:E33)</f>
        <v>497.8</v>
      </c>
      <c r="F34" s="42"/>
      <c r="G34" s="42"/>
      <c r="H34" s="42"/>
      <c r="I34" s="42"/>
      <c r="J34" s="41"/>
      <c r="K34" s="30"/>
      <c r="L34" s="30"/>
      <c r="M34" s="2"/>
      <c r="N34" s="2"/>
      <c r="O34" s="2"/>
    </row>
    <row r="35" spans="1:15" s="4" customFormat="1">
      <c r="A35" s="8"/>
      <c r="E35" s="44"/>
      <c r="F35" s="37"/>
      <c r="G35" s="37"/>
      <c r="H35" s="37"/>
      <c r="I35" s="37"/>
      <c r="J35" s="38"/>
      <c r="K35" s="30"/>
      <c r="L35" s="30"/>
      <c r="M35" s="2"/>
      <c r="N35" s="2"/>
      <c r="O35" s="2"/>
    </row>
    <row r="36" spans="1:15" s="4" customFormat="1">
      <c r="A36" s="8"/>
      <c r="E36" s="44"/>
      <c r="F36" s="37"/>
      <c r="G36" s="37"/>
      <c r="H36" s="37"/>
      <c r="I36" s="37"/>
      <c r="J36" s="38"/>
      <c r="K36" s="30"/>
      <c r="L36" s="30"/>
      <c r="M36" s="2"/>
      <c r="N36" s="2"/>
      <c r="O36" s="2"/>
    </row>
    <row r="37" spans="1:15" s="4" customFormat="1">
      <c r="A37" s="8"/>
      <c r="C37" s="3" t="s">
        <v>5</v>
      </c>
      <c r="D37" s="10" t="s">
        <v>6</v>
      </c>
      <c r="E37" s="10" t="s">
        <v>5</v>
      </c>
      <c r="F37" s="37"/>
      <c r="G37" s="37"/>
      <c r="H37" s="37"/>
      <c r="I37" s="37"/>
      <c r="J37" s="38"/>
      <c r="K37" s="46"/>
      <c r="L37" s="46"/>
      <c r="M37" s="2"/>
      <c r="N37" s="2"/>
      <c r="O37" s="2"/>
    </row>
    <row r="38" spans="1:15" s="4" customFormat="1">
      <c r="A38" s="8"/>
      <c r="C38" s="3">
        <v>2018</v>
      </c>
      <c r="D38" s="15">
        <v>2017</v>
      </c>
      <c r="E38" s="15">
        <v>2017</v>
      </c>
      <c r="F38" s="37"/>
      <c r="G38" s="37"/>
      <c r="H38" s="37"/>
      <c r="I38" s="37"/>
      <c r="J38" s="38"/>
      <c r="K38" s="46"/>
      <c r="L38" s="46"/>
      <c r="M38" s="2"/>
      <c r="N38" s="2"/>
      <c r="O38" s="2"/>
    </row>
    <row r="39" spans="1:15" s="4" customFormat="1">
      <c r="A39" s="47" t="s">
        <v>29</v>
      </c>
      <c r="B39" s="48"/>
      <c r="C39" s="49">
        <f>+C16-C34</f>
        <v>-104.20000000000005</v>
      </c>
      <c r="D39" s="50">
        <f>+D16-D34</f>
        <v>-42.66399999999993</v>
      </c>
      <c r="E39" s="49">
        <f>+E16-E34</f>
        <v>-104.69999999999999</v>
      </c>
      <c r="F39" s="40"/>
      <c r="G39" s="40"/>
      <c r="H39" s="40"/>
      <c r="I39" s="40"/>
      <c r="J39" s="38"/>
      <c r="K39" s="2"/>
      <c r="L39" s="46"/>
      <c r="M39" s="2"/>
      <c r="N39" s="2"/>
      <c r="O39" s="2"/>
    </row>
    <row r="40" spans="1:15" s="4" customFormat="1">
      <c r="A40" s="8"/>
      <c r="E40" s="3"/>
      <c r="F40" s="37"/>
      <c r="G40" s="37"/>
      <c r="H40" s="37"/>
      <c r="I40" s="37"/>
      <c r="J40" s="38"/>
      <c r="K40" s="2"/>
      <c r="L40" s="15"/>
      <c r="M40" s="2"/>
      <c r="N40" s="2"/>
      <c r="O40" s="2"/>
    </row>
    <row r="41" spans="1:15" s="4" customFormat="1">
      <c r="A41" s="51" t="s">
        <v>30</v>
      </c>
      <c r="B41" s="2"/>
      <c r="C41" s="2"/>
      <c r="D41" s="2"/>
      <c r="E41" s="52"/>
      <c r="F41" s="37"/>
      <c r="G41" s="37"/>
      <c r="H41" s="37"/>
      <c r="I41" s="37"/>
      <c r="J41" s="38"/>
      <c r="L41" s="15"/>
      <c r="M41" s="2"/>
      <c r="N41" s="2"/>
      <c r="O41" s="2"/>
    </row>
    <row r="42" spans="1:15" s="4" customFormat="1">
      <c r="A42" s="38"/>
      <c r="B42" s="2"/>
      <c r="C42" s="2"/>
      <c r="D42" s="2"/>
      <c r="E42" s="52"/>
      <c r="F42" s="37"/>
      <c r="G42" s="37"/>
      <c r="H42" s="37"/>
      <c r="I42" s="37"/>
      <c r="J42" s="11"/>
      <c r="K42" s="53"/>
      <c r="L42" s="53"/>
      <c r="M42" s="2"/>
      <c r="N42" s="2"/>
      <c r="O42" s="2"/>
    </row>
    <row r="43" spans="1:15" s="4" customFormat="1">
      <c r="A43" s="38"/>
      <c r="B43" s="2"/>
      <c r="C43" s="2"/>
      <c r="D43" s="2"/>
      <c r="E43" s="52"/>
      <c r="F43" s="37"/>
      <c r="G43" s="37"/>
      <c r="H43" s="37"/>
      <c r="I43" s="37"/>
      <c r="J43" s="38"/>
      <c r="K43" s="13"/>
      <c r="L43" s="13"/>
      <c r="M43" s="2"/>
      <c r="N43" s="2"/>
      <c r="O43" s="2"/>
    </row>
    <row r="44" spans="1:15" s="4" customFormat="1" ht="15">
      <c r="A44" s="38"/>
      <c r="B44" s="2"/>
      <c r="C44" s="2"/>
      <c r="D44" s="2"/>
      <c r="E44" s="2"/>
      <c r="F44" s="2"/>
      <c r="G44" s="2"/>
      <c r="H44" s="2"/>
      <c r="I44" s="2"/>
      <c r="J44" s="2"/>
      <c r="K44" s="2"/>
      <c r="L44" s="13"/>
      <c r="M44" s="2"/>
      <c r="N44" s="2"/>
      <c r="O44" s="2"/>
    </row>
    <row r="45" spans="1:15" s="4" customFormat="1" ht="15">
      <c r="A45" s="3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s="4" customFormat="1" ht="15">
      <c r="A46" s="38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s="4" customFormat="1" ht="15">
      <c r="A47" s="38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s="4" customFormat="1" ht="15">
      <c r="A48" s="38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s="4" customFormat="1" ht="15">
      <c r="A49" s="38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s="4" customFormat="1" ht="15">
      <c r="A50" s="38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s="4" customFormat="1" ht="15">
      <c r="A51" s="38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s="4" customFormat="1" ht="15">
      <c r="A52" s="38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s="4" customFormat="1" ht="15">
      <c r="A53" s="38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s="4" customFormat="1" ht="15">
      <c r="A54" s="38"/>
      <c r="B54" s="40"/>
      <c r="C54" s="40"/>
      <c r="D54" s="40"/>
      <c r="E54" s="2"/>
      <c r="F54" s="2"/>
      <c r="G54" s="2"/>
      <c r="H54" s="2"/>
      <c r="I54" s="2"/>
      <c r="J54" s="2"/>
      <c r="K54" s="2"/>
    </row>
    <row r="55" spans="1:11" s="4" customFormat="1" ht="15">
      <c r="A55" s="38"/>
      <c r="B55" s="40"/>
      <c r="C55" s="40"/>
      <c r="D55" s="40"/>
      <c r="E55" s="2"/>
      <c r="F55" s="2"/>
      <c r="G55" s="2"/>
      <c r="H55" s="2"/>
      <c r="I55" s="2"/>
      <c r="J55" s="2"/>
      <c r="K55" s="2"/>
    </row>
    <row r="56" spans="1:11" s="4" customFormat="1" ht="15">
      <c r="A56" s="38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s="4" customFormat="1" ht="15">
      <c r="A57" s="38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s="4" customFormat="1" ht="15">
      <c r="A58" s="38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s="4" customFormat="1" ht="15">
      <c r="A59" s="38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s="4" customFormat="1" ht="15">
      <c r="A60" s="38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s="4" customFormat="1" ht="15">
      <c r="A61" s="38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s="4" customFormat="1" ht="15">
      <c r="A62" s="38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s="4" customFormat="1" ht="15">
      <c r="A63" s="38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s="4" customFormat="1" ht="15">
      <c r="A64" s="38"/>
      <c r="B64" s="54"/>
      <c r="C64" s="54"/>
      <c r="D64" s="54"/>
      <c r="E64" s="2"/>
      <c r="F64" s="2"/>
      <c r="G64" s="2"/>
      <c r="H64" s="2"/>
      <c r="I64" s="2"/>
      <c r="J64" s="2"/>
      <c r="K64" s="2"/>
    </row>
    <row r="65" spans="1:11" s="4" customFormat="1" ht="15">
      <c r="A65" s="38"/>
      <c r="B65" s="54"/>
      <c r="C65" s="54"/>
      <c r="D65" s="54"/>
      <c r="E65" s="2"/>
      <c r="F65" s="2"/>
      <c r="G65" s="2"/>
      <c r="H65" s="2"/>
      <c r="I65" s="2"/>
      <c r="J65" s="2"/>
      <c r="K65" s="2"/>
    </row>
    <row r="66" spans="1:11" s="4" customFormat="1" ht="15">
      <c r="A66" s="8"/>
      <c r="B66" s="54"/>
      <c r="C66" s="54"/>
      <c r="D66" s="54"/>
      <c r="E66" s="2"/>
      <c r="F66" s="2"/>
      <c r="G66" s="2"/>
      <c r="H66" s="2"/>
      <c r="I66" s="2"/>
      <c r="J66" s="2"/>
      <c r="K66" s="2"/>
    </row>
    <row r="67" spans="1:11" s="4" customFormat="1" ht="15">
      <c r="A67" s="14"/>
      <c r="B67" s="54"/>
      <c r="C67" s="54"/>
      <c r="D67" s="54"/>
      <c r="E67" s="2"/>
      <c r="F67" s="2"/>
      <c r="G67" s="2"/>
      <c r="H67" s="2"/>
      <c r="I67" s="2"/>
      <c r="J67" s="2"/>
      <c r="K67" s="2"/>
    </row>
    <row r="68" spans="1:11" s="4" customFormat="1" ht="15">
      <c r="A68" s="14"/>
      <c r="B68" s="54"/>
      <c r="C68" s="54"/>
      <c r="D68" s="54"/>
      <c r="E68" s="2"/>
      <c r="F68" s="2"/>
      <c r="G68" s="2"/>
      <c r="H68" s="2"/>
      <c r="I68" s="2"/>
      <c r="J68" s="2"/>
      <c r="K68" s="2"/>
    </row>
    <row r="69" spans="1:11" s="4" customFormat="1" ht="15">
      <c r="A69" s="8"/>
      <c r="B69" s="54"/>
      <c r="C69" s="54"/>
      <c r="D69" s="54"/>
      <c r="E69" s="2"/>
      <c r="F69" s="2"/>
      <c r="G69" s="2"/>
      <c r="H69" s="2"/>
      <c r="I69" s="2"/>
      <c r="J69" s="2"/>
      <c r="K69" s="2"/>
    </row>
    <row r="70" spans="1:11" s="4" customFormat="1" ht="15">
      <c r="A70" s="8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s="4" customFormat="1" ht="15">
      <c r="A71" s="8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s="4" customFormat="1" ht="15">
      <c r="A72" s="8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s="4" customFormat="1" ht="15">
      <c r="A73" s="8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s="4" customFormat="1" ht="15">
      <c r="A74" s="8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s="4" customFormat="1" ht="15">
      <c r="A75" s="8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s="4" customFormat="1" ht="15">
      <c r="A76" s="8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s="4" customFormat="1" ht="15">
      <c r="A77" s="8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s="4" customFormat="1" ht="15">
      <c r="A78" s="8"/>
      <c r="B78" s="39"/>
      <c r="C78" s="39"/>
      <c r="D78" s="39"/>
      <c r="E78" s="2"/>
      <c r="F78" s="2"/>
      <c r="G78" s="2"/>
      <c r="H78" s="2"/>
      <c r="I78" s="2"/>
      <c r="J78" s="2"/>
      <c r="K78" s="2"/>
    </row>
    <row r="79" spans="1:11" s="4" customFormat="1" ht="15">
      <c r="A79" s="8"/>
      <c r="B79" s="39"/>
      <c r="C79" s="39"/>
      <c r="D79" s="39"/>
      <c r="E79" s="2"/>
      <c r="F79" s="2"/>
      <c r="G79" s="2"/>
      <c r="H79" s="2"/>
      <c r="I79" s="2"/>
      <c r="J79" s="2"/>
      <c r="K79" s="2"/>
    </row>
    <row r="80" spans="1:11" s="4" customFormat="1" ht="15">
      <c r="A80" s="8"/>
      <c r="B80" s="39"/>
      <c r="C80" s="39"/>
      <c r="D80" s="39"/>
      <c r="E80" s="2"/>
      <c r="F80" s="2"/>
      <c r="G80" s="2"/>
      <c r="H80" s="2"/>
      <c r="I80" s="2"/>
      <c r="J80" s="2"/>
      <c r="K80" s="2"/>
    </row>
    <row r="81" spans="1:11" s="4" customFormat="1" ht="15">
      <c r="A81" s="8"/>
      <c r="E81" s="2"/>
      <c r="F81" s="2"/>
      <c r="G81" s="2"/>
      <c r="H81" s="2"/>
      <c r="I81" s="2"/>
      <c r="J81" s="2"/>
      <c r="K81" s="2"/>
    </row>
    <row r="82" spans="1:11" s="4" customFormat="1" ht="15">
      <c r="A82" s="8"/>
      <c r="E82" s="2"/>
      <c r="F82" s="2"/>
      <c r="G82" s="2"/>
      <c r="H82" s="2"/>
      <c r="I82" s="2"/>
      <c r="J82" s="2"/>
      <c r="K82" s="2"/>
    </row>
    <row r="83" spans="1:11" s="4" customFormat="1" ht="15">
      <c r="A83" s="8"/>
      <c r="E83" s="2"/>
      <c r="F83" s="2"/>
      <c r="G83" s="2"/>
      <c r="H83" s="2"/>
      <c r="I83" s="2"/>
      <c r="J83" s="2"/>
      <c r="K83" s="2"/>
    </row>
    <row r="84" spans="1:11" s="4" customFormat="1" ht="15">
      <c r="A84" s="8"/>
      <c r="E84" s="2"/>
      <c r="F84" s="2"/>
      <c r="G84" s="2"/>
      <c r="H84" s="2"/>
      <c r="I84" s="2"/>
      <c r="J84" s="2"/>
      <c r="K84" s="2"/>
    </row>
    <row r="85" spans="1:11" s="4" customFormat="1" ht="15">
      <c r="A85" s="8"/>
      <c r="E85" s="2"/>
      <c r="F85" s="2"/>
      <c r="G85" s="2"/>
      <c r="H85" s="2"/>
      <c r="I85" s="2"/>
      <c r="J85" s="2"/>
      <c r="K85" s="2"/>
    </row>
    <row r="86" spans="1:11" s="4" customFormat="1" ht="15">
      <c r="A86" s="8"/>
      <c r="E86" s="2"/>
      <c r="F86" s="2"/>
      <c r="G86" s="2"/>
      <c r="H86" s="2"/>
      <c r="I86" s="2"/>
      <c r="J86" s="2"/>
      <c r="K86" s="2"/>
    </row>
    <row r="87" spans="1:11" s="4" customFormat="1" ht="15">
      <c r="A87" s="8"/>
      <c r="E87" s="2"/>
      <c r="F87" s="2"/>
      <c r="G87" s="2"/>
      <c r="H87" s="2"/>
      <c r="I87" s="2"/>
      <c r="J87" s="2"/>
      <c r="K87" s="2"/>
    </row>
    <row r="88" spans="1:11" s="4" customFormat="1" ht="15">
      <c r="A88" s="8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s="4" customFormat="1" ht="15">
      <c r="A89" s="8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s="4" customFormat="1" ht="15">
      <c r="A90" s="8"/>
      <c r="B90" s="54"/>
      <c r="C90" s="54"/>
      <c r="D90" s="54"/>
      <c r="E90" s="2"/>
      <c r="F90" s="2"/>
      <c r="G90" s="2"/>
      <c r="H90" s="2"/>
      <c r="I90" s="2"/>
      <c r="J90" s="2"/>
      <c r="K90" s="2"/>
    </row>
    <row r="91" spans="1:11" s="4" customFormat="1" ht="15">
      <c r="A91" s="8"/>
      <c r="B91" s="54"/>
      <c r="C91" s="54"/>
      <c r="D91" s="54"/>
      <c r="E91" s="2"/>
      <c r="F91" s="2"/>
      <c r="G91" s="2"/>
      <c r="H91" s="2"/>
      <c r="I91" s="2"/>
      <c r="J91" s="2"/>
      <c r="K91" s="2"/>
    </row>
    <row r="92" spans="1:11" s="4" customFormat="1" ht="15">
      <c r="A92" s="8"/>
      <c r="B92" s="54"/>
      <c r="C92" s="54"/>
      <c r="D92" s="54"/>
      <c r="E92" s="2"/>
      <c r="F92" s="2"/>
      <c r="G92" s="2"/>
      <c r="H92" s="2"/>
      <c r="I92" s="2"/>
      <c r="J92" s="2"/>
      <c r="K92" s="2"/>
    </row>
    <row r="93" spans="1:11" s="4" customFormat="1" ht="15">
      <c r="A93" s="8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s="4" customFormat="1" ht="15">
      <c r="A94" s="8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s="4" customFormat="1" ht="15">
      <c r="A95" s="8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s="4" customFormat="1" ht="15">
      <c r="A96" s="8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s="4" customFormat="1" ht="15">
      <c r="A97" s="8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s="4" customFormat="1" ht="15">
      <c r="A98" s="8"/>
      <c r="B98" s="54"/>
      <c r="C98" s="54"/>
      <c r="D98" s="54"/>
      <c r="E98" s="2"/>
      <c r="F98" s="2"/>
      <c r="G98" s="2"/>
      <c r="H98" s="2"/>
      <c r="I98" s="2"/>
      <c r="J98" s="2"/>
      <c r="K98" s="2"/>
    </row>
    <row r="99" spans="1:11" s="4" customFormat="1" ht="15">
      <c r="A99" s="8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s="4" customFormat="1" ht="15">
      <c r="A100" s="8"/>
      <c r="B100" s="54"/>
      <c r="C100" s="54"/>
      <c r="D100" s="54"/>
      <c r="E100" s="2"/>
      <c r="F100" s="2"/>
      <c r="G100" s="2"/>
      <c r="H100" s="2"/>
      <c r="I100" s="2"/>
      <c r="J100" s="2"/>
      <c r="K100" s="2"/>
    </row>
    <row r="101" spans="1:11" s="4" customFormat="1" ht="15">
      <c r="A101" s="8"/>
      <c r="E101" s="2"/>
      <c r="F101" s="2"/>
      <c r="G101" s="2"/>
      <c r="H101" s="2"/>
      <c r="I101" s="2"/>
      <c r="J101" s="2"/>
      <c r="K101" s="2"/>
    </row>
    <row r="102" spans="1:11" s="4" customFormat="1" ht="15">
      <c r="A102" s="8"/>
      <c r="B102" s="28"/>
      <c r="C102" s="28"/>
      <c r="D102" s="28"/>
      <c r="E102" s="2"/>
      <c r="F102" s="2"/>
      <c r="G102" s="2"/>
      <c r="H102" s="2"/>
      <c r="I102" s="2"/>
      <c r="J102" s="2"/>
      <c r="K102" s="2"/>
    </row>
    <row r="103" spans="1:11" s="4" customFormat="1" ht="15">
      <c r="A103" s="8"/>
      <c r="E103" s="2"/>
      <c r="F103" s="2"/>
      <c r="G103" s="2"/>
      <c r="H103" s="2"/>
      <c r="I103" s="2"/>
      <c r="J103" s="2"/>
      <c r="K103" s="2"/>
    </row>
    <row r="104" spans="1:11" s="4" customFormat="1" ht="15">
      <c r="A104" s="8"/>
      <c r="E104" s="2"/>
      <c r="F104" s="2"/>
      <c r="G104" s="2"/>
      <c r="H104" s="2"/>
      <c r="I104" s="2"/>
      <c r="J104" s="2"/>
      <c r="K104" s="2"/>
    </row>
    <row r="105" spans="1:11" s="4" customFormat="1" ht="15">
      <c r="A105" s="8"/>
      <c r="E105" s="2"/>
      <c r="F105" s="2"/>
      <c r="G105" s="2"/>
      <c r="H105" s="2"/>
      <c r="I105" s="2"/>
      <c r="J105" s="2"/>
      <c r="K105" s="2"/>
    </row>
    <row r="106" spans="1:11" s="4" customFormat="1" ht="15">
      <c r="A106" s="8"/>
      <c r="E106" s="2"/>
      <c r="F106" s="2"/>
      <c r="G106" s="2"/>
      <c r="H106" s="2"/>
      <c r="I106" s="2"/>
      <c r="J106" s="2"/>
      <c r="K106" s="2"/>
    </row>
    <row r="107" spans="1:11" s="4" customFormat="1" ht="15">
      <c r="A107" s="8"/>
      <c r="E107" s="2"/>
      <c r="F107" s="2"/>
      <c r="G107" s="2"/>
      <c r="H107" s="2"/>
      <c r="I107" s="2"/>
      <c r="J107" s="2"/>
      <c r="K107" s="2"/>
    </row>
    <row r="108" spans="1:11" s="4" customFormat="1" ht="15">
      <c r="A108" s="8"/>
      <c r="E108" s="2"/>
      <c r="F108" s="2"/>
      <c r="G108" s="2"/>
      <c r="H108" s="2"/>
      <c r="I108" s="2"/>
      <c r="J108" s="2"/>
      <c r="K108" s="2"/>
    </row>
    <row r="109" spans="1:11" s="4" customFormat="1" ht="15">
      <c r="A109" s="8"/>
      <c r="E109" s="2"/>
      <c r="F109" s="2"/>
      <c r="G109" s="2"/>
      <c r="H109" s="2"/>
      <c r="I109" s="2"/>
      <c r="J109" s="2"/>
      <c r="K109" s="2"/>
    </row>
    <row r="110" spans="1:11" s="4" customFormat="1" ht="15">
      <c r="A110" s="8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s="4" customFormat="1" ht="15">
      <c r="A111" s="8"/>
      <c r="B111" s="54"/>
      <c r="C111" s="54"/>
      <c r="D111" s="54"/>
      <c r="E111" s="2"/>
      <c r="F111" s="2"/>
      <c r="G111" s="2"/>
      <c r="H111" s="2"/>
      <c r="I111" s="2"/>
      <c r="J111" s="2"/>
      <c r="K111" s="2"/>
    </row>
    <row r="112" spans="1:11" s="4" customFormat="1" ht="15">
      <c r="A112" s="8"/>
      <c r="E112" s="2"/>
      <c r="F112" s="2"/>
      <c r="G112" s="2"/>
      <c r="H112" s="2"/>
      <c r="I112" s="2"/>
      <c r="J112" s="2"/>
      <c r="K112" s="2"/>
    </row>
    <row r="113" spans="1:11" s="4" customFormat="1" ht="15">
      <c r="A113" s="8"/>
      <c r="B113" s="39"/>
      <c r="C113" s="39"/>
      <c r="D113" s="39"/>
      <c r="E113" s="2"/>
      <c r="F113" s="2"/>
      <c r="G113" s="2"/>
      <c r="H113" s="2"/>
      <c r="I113" s="2"/>
      <c r="J113" s="2"/>
      <c r="K113" s="2"/>
    </row>
    <row r="114" spans="1:11" s="4" customFormat="1" ht="15">
      <c r="A114" s="8"/>
      <c r="E114" s="2"/>
      <c r="F114" s="2"/>
      <c r="G114" s="2"/>
      <c r="H114" s="2"/>
      <c r="I114" s="2"/>
      <c r="J114" s="2"/>
      <c r="K114" s="2"/>
    </row>
    <row r="115" spans="1:11" s="4" customFormat="1" ht="15">
      <c r="A115" s="38"/>
      <c r="B115" s="54"/>
      <c r="C115" s="54"/>
      <c r="D115" s="54"/>
      <c r="E115" s="2"/>
      <c r="F115" s="2"/>
      <c r="G115" s="2"/>
      <c r="H115" s="2"/>
      <c r="I115" s="2"/>
      <c r="J115" s="2"/>
      <c r="K115" s="2"/>
    </row>
    <row r="116" spans="1:11" s="4" customFormat="1" ht="15">
      <c r="A116" s="38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s="4" customFormat="1" ht="15">
      <c r="A117" s="8"/>
      <c r="E117" s="2"/>
      <c r="F117" s="2"/>
      <c r="G117" s="2"/>
      <c r="H117" s="2"/>
      <c r="I117" s="2"/>
      <c r="J117" s="2"/>
      <c r="K117" s="2"/>
    </row>
    <row r="118" spans="1:11" s="4" customFormat="1" ht="15">
      <c r="A118" s="8"/>
      <c r="E118" s="2"/>
      <c r="F118" s="2"/>
      <c r="G118" s="2"/>
      <c r="H118" s="2"/>
      <c r="I118" s="2"/>
      <c r="J118" s="2"/>
      <c r="K118" s="2"/>
    </row>
    <row r="119" spans="1:11" s="4" customFormat="1" ht="15">
      <c r="A119" s="8"/>
      <c r="E119" s="2"/>
      <c r="F119" s="2"/>
      <c r="G119" s="2"/>
      <c r="H119" s="2"/>
      <c r="I119" s="2"/>
      <c r="J119" s="2"/>
      <c r="K119" s="2"/>
    </row>
    <row r="120" spans="1:11" s="4" customFormat="1" ht="15">
      <c r="A120" s="8"/>
      <c r="E120" s="2"/>
      <c r="F120" s="2"/>
      <c r="G120" s="2"/>
      <c r="H120" s="2"/>
      <c r="I120" s="2"/>
      <c r="J120" s="2"/>
      <c r="K120" s="2"/>
    </row>
    <row r="121" spans="1:11" s="4" customFormat="1" ht="15">
      <c r="A121" s="8"/>
      <c r="E121" s="2"/>
      <c r="F121" s="2"/>
      <c r="G121" s="2"/>
      <c r="H121" s="2"/>
      <c r="I121" s="2"/>
      <c r="J121" s="2"/>
      <c r="K121" s="2"/>
    </row>
    <row r="122" spans="1:11" s="4" customFormat="1" ht="15">
      <c r="A122" s="8"/>
      <c r="E122" s="2"/>
      <c r="F122" s="2"/>
      <c r="G122" s="2"/>
      <c r="H122" s="2"/>
      <c r="I122" s="2"/>
      <c r="J122" s="2"/>
      <c r="K122" s="2"/>
    </row>
    <row r="123" spans="1:11" s="4" customFormat="1" ht="15">
      <c r="A123" s="8"/>
      <c r="E123" s="2"/>
      <c r="F123" s="2"/>
      <c r="G123" s="2"/>
      <c r="H123" s="2"/>
      <c r="I123" s="2"/>
      <c r="J123" s="2"/>
      <c r="K123" s="2"/>
    </row>
    <row r="124" spans="1:11" s="4" customFormat="1" ht="15">
      <c r="A124" s="8"/>
      <c r="E124" s="2"/>
      <c r="F124" s="2"/>
      <c r="G124" s="2"/>
      <c r="H124" s="2"/>
      <c r="I124" s="2"/>
      <c r="J124" s="2"/>
      <c r="K124" s="2"/>
    </row>
    <row r="125" spans="1:11" s="4" customFormat="1" ht="15">
      <c r="A125" s="8"/>
      <c r="E125" s="2"/>
      <c r="F125" s="2"/>
      <c r="G125" s="2"/>
      <c r="H125" s="2"/>
      <c r="I125" s="2"/>
      <c r="J125" s="2"/>
      <c r="K125" s="2"/>
    </row>
    <row r="126" spans="1:11" s="4" customFormat="1" ht="15">
      <c r="A126" s="8"/>
      <c r="E126" s="2"/>
      <c r="F126" s="2"/>
      <c r="G126" s="2"/>
      <c r="H126" s="2"/>
      <c r="I126" s="2"/>
      <c r="J126" s="2"/>
      <c r="K126" s="2"/>
    </row>
    <row r="127" spans="1:11" s="4" customFormat="1" ht="15">
      <c r="A127" s="8"/>
      <c r="E127" s="2"/>
      <c r="F127" s="2"/>
      <c r="G127" s="2"/>
      <c r="H127" s="2"/>
      <c r="I127" s="2"/>
      <c r="J127" s="2"/>
      <c r="K127" s="2"/>
    </row>
    <row r="128" spans="1:11" s="4" customFormat="1" ht="15">
      <c r="A128" s="8"/>
      <c r="E128" s="2"/>
      <c r="F128" s="2"/>
      <c r="G128" s="2"/>
      <c r="H128" s="2"/>
      <c r="I128" s="2"/>
      <c r="J128" s="2"/>
      <c r="K128" s="2"/>
    </row>
    <row r="129" spans="1:11" s="4" customFormat="1" ht="15">
      <c r="A129" s="8"/>
      <c r="E129" s="2"/>
      <c r="F129" s="2"/>
      <c r="G129" s="2"/>
      <c r="H129" s="2"/>
      <c r="I129" s="2"/>
      <c r="J129" s="2"/>
      <c r="K129" s="2"/>
    </row>
    <row r="130" spans="1:11" s="4" customFormat="1" ht="15">
      <c r="A130" s="8"/>
      <c r="E130" s="2"/>
      <c r="F130" s="2"/>
      <c r="G130" s="2"/>
      <c r="H130" s="2"/>
      <c r="I130" s="2"/>
      <c r="J130" s="2"/>
      <c r="K130" s="2"/>
    </row>
    <row r="131" spans="1:11" s="4" customFormat="1" ht="15">
      <c r="A131" s="8"/>
      <c r="E131" s="2"/>
      <c r="F131" s="2"/>
      <c r="G131" s="2"/>
      <c r="H131" s="2"/>
      <c r="I131" s="2"/>
      <c r="J131" s="2"/>
      <c r="K131" s="2"/>
    </row>
    <row r="132" spans="1:11" s="4" customFormat="1" ht="15">
      <c r="A132" s="8"/>
      <c r="E132" s="2"/>
      <c r="F132" s="2"/>
      <c r="G132" s="2"/>
      <c r="H132" s="2"/>
      <c r="I132" s="2"/>
      <c r="J132" s="2"/>
      <c r="K132" s="2"/>
    </row>
    <row r="133" spans="1:11" s="4" customFormat="1" ht="15">
      <c r="A133" s="8"/>
      <c r="E133" s="2"/>
      <c r="F133" s="2"/>
      <c r="G133" s="2"/>
      <c r="H133" s="2"/>
      <c r="I133" s="2"/>
      <c r="J133" s="2"/>
      <c r="K133" s="2"/>
    </row>
    <row r="134" spans="1:11" s="4" customFormat="1" ht="15">
      <c r="A134" s="8"/>
      <c r="E134" s="2"/>
      <c r="F134" s="2"/>
      <c r="G134" s="2"/>
      <c r="H134" s="2"/>
      <c r="I134" s="2"/>
      <c r="J134" s="2"/>
      <c r="K134" s="2"/>
    </row>
    <row r="135" spans="1:11" s="4" customFormat="1" ht="15">
      <c r="A135" s="8"/>
      <c r="E135" s="2"/>
      <c r="F135" s="2"/>
      <c r="G135" s="2"/>
      <c r="H135" s="2"/>
      <c r="I135" s="2"/>
      <c r="J135" s="2"/>
      <c r="K135" s="2"/>
    </row>
    <row r="136" spans="1:11" s="4" customFormat="1" ht="15">
      <c r="A136" s="8"/>
      <c r="E136" s="2"/>
      <c r="F136" s="2"/>
      <c r="G136" s="2"/>
      <c r="H136" s="2"/>
      <c r="I136" s="2"/>
      <c r="J136" s="2"/>
      <c r="K136" s="2"/>
    </row>
    <row r="137" spans="1:11" s="4" customFormat="1" ht="15">
      <c r="A137" s="8"/>
      <c r="E137" s="2"/>
      <c r="F137" s="2"/>
      <c r="G137" s="2"/>
      <c r="H137" s="2"/>
      <c r="I137" s="2"/>
      <c r="J137" s="2"/>
      <c r="K137" s="2"/>
    </row>
    <row r="138" spans="1:11" s="4" customFormat="1" ht="15">
      <c r="A138" s="8"/>
      <c r="E138" s="2"/>
      <c r="F138" s="2"/>
      <c r="G138" s="2"/>
      <c r="H138" s="2"/>
      <c r="I138" s="2"/>
      <c r="J138" s="2"/>
      <c r="K138" s="2"/>
    </row>
    <row r="139" spans="1:11" s="4" customFormat="1" ht="15">
      <c r="A139" s="8"/>
      <c r="E139" s="2"/>
      <c r="F139" s="2"/>
      <c r="G139" s="2"/>
      <c r="H139" s="2"/>
      <c r="I139" s="2"/>
      <c r="J139" s="2"/>
      <c r="K139" s="2"/>
    </row>
    <row r="140" spans="1:11" s="4" customFormat="1" ht="15">
      <c r="A140" s="8"/>
      <c r="E140" s="2"/>
      <c r="F140" s="2"/>
      <c r="G140" s="2"/>
      <c r="H140" s="2"/>
      <c r="I140" s="2"/>
      <c r="J140" s="2"/>
      <c r="K140" s="2"/>
    </row>
    <row r="141" spans="1:11" s="4" customFormat="1" ht="15">
      <c r="A141" s="8"/>
      <c r="E141" s="2"/>
      <c r="F141" s="2"/>
      <c r="G141" s="2"/>
      <c r="H141" s="2"/>
      <c r="I141" s="2"/>
      <c r="J141" s="2"/>
      <c r="K141" s="2"/>
    </row>
    <row r="142" spans="1:11" s="4" customFormat="1" ht="15">
      <c r="A142" s="8"/>
      <c r="E142" s="2"/>
      <c r="F142" s="2"/>
      <c r="G142" s="2"/>
      <c r="H142" s="2"/>
      <c r="I142" s="2"/>
      <c r="J142" s="2"/>
      <c r="K142" s="2"/>
    </row>
    <row r="143" spans="1:11" s="4" customFormat="1" ht="15">
      <c r="A143" s="8"/>
      <c r="E143" s="2"/>
      <c r="F143" s="2"/>
      <c r="G143" s="2"/>
      <c r="H143" s="2"/>
      <c r="I143" s="2"/>
      <c r="J143" s="2"/>
      <c r="K143" s="2"/>
    </row>
    <row r="144" spans="1:11" s="4" customFormat="1" ht="15">
      <c r="A144" s="8"/>
      <c r="E144" s="2"/>
      <c r="F144" s="2"/>
      <c r="G144" s="2"/>
      <c r="H144" s="2"/>
      <c r="I144" s="2"/>
      <c r="J144" s="2"/>
      <c r="K144" s="2"/>
    </row>
    <row r="145" spans="1:11" s="4" customFormat="1" ht="15">
      <c r="A145" s="8"/>
      <c r="E145" s="2"/>
      <c r="F145" s="2"/>
      <c r="G145" s="2"/>
      <c r="H145" s="2"/>
      <c r="I145" s="2"/>
      <c r="J145" s="2"/>
      <c r="K145" s="2"/>
    </row>
    <row r="146" spans="1:11" s="4" customFormat="1" ht="15">
      <c r="A146" s="8"/>
      <c r="E146" s="2"/>
      <c r="F146" s="2"/>
      <c r="G146" s="2"/>
      <c r="H146" s="2"/>
      <c r="I146" s="2"/>
      <c r="J146" s="2"/>
      <c r="K146" s="2"/>
    </row>
    <row r="147" spans="1:11" s="4" customFormat="1" ht="15">
      <c r="A147" s="8"/>
      <c r="E147" s="2"/>
      <c r="F147" s="2"/>
      <c r="G147" s="2"/>
      <c r="H147" s="2"/>
      <c r="I147" s="2"/>
      <c r="J147" s="2"/>
      <c r="K147" s="2"/>
    </row>
    <row r="148" spans="1:11" s="4" customFormat="1" ht="15">
      <c r="A148" s="8"/>
      <c r="E148" s="2"/>
      <c r="F148" s="2"/>
      <c r="G148" s="2"/>
      <c r="H148" s="2"/>
      <c r="I148" s="2"/>
      <c r="J148" s="2"/>
      <c r="K148" s="2"/>
    </row>
    <row r="149" spans="1:11" s="4" customFormat="1" ht="15">
      <c r="A149" s="8"/>
      <c r="E149" s="2"/>
      <c r="F149" s="2"/>
      <c r="G149" s="2"/>
      <c r="H149" s="2"/>
      <c r="I149" s="2"/>
      <c r="J149" s="2"/>
      <c r="K149" s="2"/>
    </row>
    <row r="150" spans="1:11" s="4" customFormat="1" ht="15">
      <c r="A150" s="8"/>
      <c r="E150" s="2"/>
      <c r="F150" s="2"/>
      <c r="G150" s="2"/>
      <c r="H150" s="2"/>
      <c r="I150" s="2"/>
      <c r="J150" s="2"/>
      <c r="K150" s="2"/>
    </row>
    <row r="151" spans="1:11" s="4" customFormat="1" ht="15">
      <c r="A151" s="8"/>
      <c r="E151" s="2"/>
      <c r="F151" s="2"/>
      <c r="G151" s="2"/>
      <c r="H151" s="2"/>
      <c r="I151" s="2"/>
      <c r="J151" s="2"/>
      <c r="K151" s="2"/>
    </row>
    <row r="152" spans="1:11" s="4" customFormat="1" ht="15">
      <c r="A152" s="8"/>
      <c r="E152" s="2"/>
      <c r="F152" s="2"/>
      <c r="G152" s="2"/>
      <c r="H152" s="2"/>
      <c r="I152" s="2"/>
      <c r="J152" s="2"/>
      <c r="K152" s="2"/>
    </row>
    <row r="153" spans="1:11" s="4" customFormat="1" ht="15">
      <c r="A153" s="8"/>
      <c r="E153" s="2"/>
      <c r="F153" s="2"/>
      <c r="G153" s="2"/>
      <c r="H153" s="2"/>
      <c r="I153" s="2"/>
      <c r="J153" s="2"/>
      <c r="K153" s="2"/>
    </row>
    <row r="154" spans="1:11" s="4" customFormat="1" ht="15">
      <c r="A154" s="8"/>
      <c r="E154" s="2"/>
      <c r="F154" s="2"/>
      <c r="G154" s="2"/>
      <c r="H154" s="2"/>
      <c r="I154" s="2"/>
      <c r="J154" s="2"/>
      <c r="K154" s="2"/>
    </row>
    <row r="155" spans="1:11" s="4" customFormat="1" ht="15">
      <c r="A155" s="8"/>
      <c r="E155" s="2"/>
      <c r="F155" s="2"/>
      <c r="G155" s="2"/>
      <c r="H155" s="2"/>
      <c r="I155" s="2"/>
      <c r="J155" s="2"/>
      <c r="K155" s="2"/>
    </row>
    <row r="156" spans="1:11" s="4" customFormat="1" ht="15">
      <c r="A156" s="8"/>
      <c r="E156" s="2"/>
      <c r="F156" s="2"/>
      <c r="G156" s="2"/>
      <c r="H156" s="2"/>
      <c r="I156" s="2"/>
      <c r="J156" s="2"/>
      <c r="K156" s="2"/>
    </row>
    <row r="157" spans="1:11" s="4" customFormat="1" ht="15">
      <c r="A157" s="8"/>
      <c r="E157" s="2"/>
      <c r="F157" s="2"/>
      <c r="G157" s="2"/>
      <c r="H157" s="2"/>
      <c r="I157" s="2"/>
      <c r="J157" s="2"/>
      <c r="K157" s="2"/>
    </row>
    <row r="158" spans="1:11" s="4" customFormat="1" ht="15">
      <c r="A158" s="8"/>
      <c r="E158" s="2"/>
      <c r="F158" s="2"/>
      <c r="G158" s="2"/>
      <c r="H158" s="2"/>
      <c r="I158" s="2"/>
      <c r="J158" s="2"/>
      <c r="K158" s="2"/>
    </row>
    <row r="159" spans="1:11" s="4" customFormat="1" ht="15">
      <c r="A159" s="8"/>
      <c r="E159" s="2"/>
      <c r="F159" s="2"/>
      <c r="G159" s="2"/>
      <c r="H159" s="2"/>
      <c r="I159" s="2"/>
      <c r="J159" s="2"/>
      <c r="K159" s="2"/>
    </row>
    <row r="160" spans="1:11" s="4" customFormat="1" ht="15">
      <c r="A160" s="8"/>
      <c r="E160" s="2"/>
      <c r="F160" s="2"/>
      <c r="G160" s="2"/>
      <c r="H160" s="2"/>
      <c r="I160" s="2"/>
      <c r="J160" s="2"/>
      <c r="K160" s="2"/>
    </row>
    <row r="161" spans="1:11" s="4" customFormat="1" ht="15">
      <c r="A161" s="8"/>
      <c r="E161" s="2"/>
      <c r="F161" s="2"/>
      <c r="G161" s="2"/>
      <c r="H161" s="2"/>
      <c r="I161" s="2"/>
      <c r="J161" s="2"/>
      <c r="K161" s="2"/>
    </row>
    <row r="162" spans="1:11" s="4" customFormat="1" ht="15">
      <c r="A162" s="8"/>
      <c r="E162" s="2"/>
      <c r="F162" s="2"/>
      <c r="G162" s="2"/>
      <c r="H162" s="2"/>
      <c r="I162" s="2"/>
      <c r="J162" s="2"/>
      <c r="K162" s="2"/>
    </row>
    <row r="163" spans="1:11" s="4" customFormat="1" ht="15">
      <c r="A163" s="8"/>
      <c r="E163" s="2"/>
      <c r="F163" s="2"/>
      <c r="G163" s="2"/>
      <c r="H163" s="2"/>
      <c r="I163" s="2"/>
      <c r="J163" s="2"/>
      <c r="K163" s="2"/>
    </row>
    <row r="164" spans="1:11" s="4" customFormat="1" ht="15">
      <c r="A164" s="8"/>
      <c r="E164" s="2"/>
      <c r="F164" s="2"/>
      <c r="G164" s="2"/>
      <c r="H164" s="2"/>
      <c r="I164" s="2"/>
      <c r="J164" s="2"/>
      <c r="K164" s="2"/>
    </row>
    <row r="165" spans="1:11" s="4" customFormat="1" ht="15">
      <c r="A165" s="8"/>
      <c r="E165" s="2"/>
      <c r="F165" s="2"/>
      <c r="G165" s="2"/>
      <c r="H165" s="2"/>
      <c r="I165" s="2"/>
      <c r="J165" s="2"/>
      <c r="K165" s="2"/>
    </row>
    <row r="166" spans="1:11" s="4" customFormat="1" ht="15">
      <c r="A166" s="8"/>
      <c r="E166" s="2"/>
      <c r="F166" s="2"/>
      <c r="G166" s="2"/>
      <c r="H166" s="2"/>
      <c r="I166" s="2"/>
      <c r="J166" s="2"/>
      <c r="K166" s="2"/>
    </row>
    <row r="167" spans="1:11" s="4" customFormat="1" ht="15">
      <c r="A167" s="8"/>
      <c r="E167" s="2"/>
      <c r="F167" s="2"/>
      <c r="G167" s="2"/>
      <c r="H167" s="2"/>
      <c r="I167" s="2"/>
      <c r="J167" s="2"/>
      <c r="K167" s="2"/>
    </row>
    <row r="168" spans="1:11" s="4" customFormat="1" ht="15">
      <c r="A168" s="8"/>
      <c r="E168" s="2"/>
      <c r="F168" s="2"/>
      <c r="G168" s="2"/>
      <c r="H168" s="2"/>
      <c r="I168" s="2"/>
      <c r="J168" s="2"/>
      <c r="K168" s="2"/>
    </row>
    <row r="169" spans="1:11" s="4" customFormat="1" ht="15">
      <c r="A169" s="8"/>
      <c r="E169" s="2"/>
      <c r="F169" s="2"/>
      <c r="G169" s="2"/>
      <c r="H169" s="2"/>
      <c r="I169" s="2"/>
      <c r="J169" s="2"/>
      <c r="K169" s="2"/>
    </row>
  </sheetData>
  <pageMargins left="0.70866141732283472" right="0.70866141732283472" top="1.1417322834645669" bottom="1.1417322834645669" header="0.74803149606299213" footer="0.74803149606299213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AMJ135"/>
  <sheetViews>
    <sheetView topLeftCell="A64" zoomScale="85" zoomScaleNormal="85" workbookViewId="0">
      <selection activeCell="E98" sqref="E98"/>
    </sheetView>
  </sheetViews>
  <sheetFormatPr defaultRowHeight="15"/>
  <cols>
    <col min="1" max="2" width="8.125" style="4" customWidth="1"/>
    <col min="3" max="3" width="9.25" style="4" customWidth="1"/>
    <col min="4" max="4" width="90" style="4" customWidth="1"/>
    <col min="5" max="5" width="13.75" style="4" customWidth="1"/>
    <col min="6" max="6" width="10.125" style="4" customWidth="1"/>
    <col min="7" max="7" width="7.625" style="4" customWidth="1"/>
    <col min="8" max="8" width="8.125" style="4" customWidth="1"/>
    <col min="9" max="9" width="10.875" style="4" customWidth="1"/>
    <col min="10" max="10" width="10.125" style="4" customWidth="1"/>
    <col min="11" max="11" width="14.875" style="4" customWidth="1"/>
    <col min="12" max="1024" width="8.125" style="4" customWidth="1"/>
  </cols>
  <sheetData>
    <row r="2" spans="3:13" ht="23.25">
      <c r="D2" s="55" t="s">
        <v>354</v>
      </c>
      <c r="E2" s="4" t="s">
        <v>32</v>
      </c>
      <c r="F2" s="56"/>
    </row>
    <row r="3" spans="3:13">
      <c r="D3" s="57" t="s">
        <v>33</v>
      </c>
      <c r="E3" s="56"/>
      <c r="F3" s="56"/>
      <c r="I3" s="58" t="s">
        <v>34</v>
      </c>
      <c r="J3" s="4" t="s">
        <v>355</v>
      </c>
      <c r="K3" s="59" t="s">
        <v>35</v>
      </c>
      <c r="L3" s="60"/>
      <c r="M3" s="4" t="s">
        <v>36</v>
      </c>
    </row>
    <row r="4" spans="3:13">
      <c r="D4" s="57" t="s">
        <v>37</v>
      </c>
      <c r="E4" s="56"/>
      <c r="F4" s="56"/>
      <c r="I4" s="58"/>
      <c r="K4" s="60"/>
      <c r="L4" s="60"/>
    </row>
    <row r="5" spans="3:13">
      <c r="E5" s="56"/>
      <c r="F5" s="56"/>
      <c r="I5" s="58"/>
      <c r="K5" s="60"/>
      <c r="L5" s="60"/>
    </row>
    <row r="6" spans="3:13">
      <c r="E6" s="56"/>
      <c r="F6" s="56"/>
      <c r="G6" s="2"/>
      <c r="I6" s="58"/>
      <c r="K6" s="60"/>
      <c r="L6" s="60"/>
    </row>
    <row r="7" spans="3:13" ht="20.25">
      <c r="D7" s="61" t="s">
        <v>356</v>
      </c>
      <c r="E7" s="56"/>
      <c r="F7" s="56"/>
      <c r="I7" s="58"/>
      <c r="K7" s="60"/>
      <c r="L7" s="60"/>
    </row>
    <row r="8" spans="3:13">
      <c r="E8" s="56"/>
      <c r="F8" s="56"/>
      <c r="I8" s="58"/>
      <c r="K8" s="60"/>
      <c r="L8" s="60"/>
    </row>
    <row r="9" spans="3:13" ht="18">
      <c r="C9" s="62" t="s">
        <v>39</v>
      </c>
      <c r="D9" s="63" t="s">
        <v>40</v>
      </c>
      <c r="E9" s="64" t="s">
        <v>41</v>
      </c>
      <c r="F9" s="64" t="s">
        <v>42</v>
      </c>
      <c r="G9" s="62" t="s">
        <v>4</v>
      </c>
      <c r="I9" s="65">
        <f>G18</f>
        <v>-6800</v>
      </c>
      <c r="K9" s="59" t="s">
        <v>43</v>
      </c>
      <c r="L9" s="66">
        <v>40</v>
      </c>
    </row>
    <row r="10" spans="3:13">
      <c r="C10" s="67">
        <v>301</v>
      </c>
      <c r="D10" s="25" t="s">
        <v>357</v>
      </c>
      <c r="E10" s="68"/>
      <c r="F10" s="69">
        <v>-25000</v>
      </c>
      <c r="G10" s="70">
        <f t="shared" ref="G10:G17" si="0">SUM(E10:F10)</f>
        <v>-25000</v>
      </c>
      <c r="I10" s="58"/>
      <c r="K10" s="60"/>
      <c r="L10" s="60"/>
    </row>
    <row r="11" spans="3:13">
      <c r="C11" s="67">
        <v>302</v>
      </c>
      <c r="D11" s="71" t="s">
        <v>45</v>
      </c>
      <c r="E11" s="72"/>
      <c r="F11" s="73">
        <v>-3000</v>
      </c>
      <c r="G11" s="70">
        <f t="shared" si="0"/>
        <v>-3000</v>
      </c>
      <c r="I11" s="58"/>
      <c r="K11" s="60"/>
      <c r="L11" s="60"/>
    </row>
    <row r="12" spans="3:13">
      <c r="C12" s="67">
        <v>303</v>
      </c>
      <c r="D12" s="25" t="s">
        <v>358</v>
      </c>
      <c r="E12" s="72"/>
      <c r="F12" s="72">
        <f>-L9*450</f>
        <v>-18000</v>
      </c>
      <c r="G12" s="70">
        <f t="shared" si="0"/>
        <v>-18000</v>
      </c>
      <c r="I12" s="58"/>
      <c r="K12" s="60"/>
      <c r="L12" s="60"/>
    </row>
    <row r="13" spans="3:13">
      <c r="C13" s="74">
        <v>304</v>
      </c>
      <c r="D13" s="25" t="s">
        <v>47</v>
      </c>
      <c r="E13" s="72"/>
      <c r="F13" s="72">
        <f>-6*450</f>
        <v>-2700</v>
      </c>
      <c r="G13" s="75">
        <f t="shared" si="0"/>
        <v>-2700</v>
      </c>
      <c r="I13" s="58"/>
      <c r="K13" s="60"/>
      <c r="L13" s="60"/>
    </row>
    <row r="14" spans="3:13">
      <c r="C14" s="74">
        <v>305</v>
      </c>
      <c r="D14" s="19" t="s">
        <v>359</v>
      </c>
      <c r="E14" s="68"/>
      <c r="F14" s="68">
        <f>-(L9*70*2+500)</f>
        <v>-6100</v>
      </c>
      <c r="G14" s="76">
        <f t="shared" si="0"/>
        <v>-6100</v>
      </c>
      <c r="I14" s="58"/>
      <c r="K14" s="60"/>
      <c r="L14" s="60"/>
    </row>
    <row r="15" spans="3:13">
      <c r="C15" s="74">
        <v>306</v>
      </c>
      <c r="D15" s="19" t="s">
        <v>360</v>
      </c>
      <c r="E15" s="68">
        <f>L9*M17</f>
        <v>48000</v>
      </c>
      <c r="F15" s="68"/>
      <c r="G15" s="77">
        <f t="shared" si="0"/>
        <v>48000</v>
      </c>
      <c r="I15" s="58"/>
      <c r="K15" s="60"/>
      <c r="L15" s="60"/>
    </row>
    <row r="16" spans="3:13">
      <c r="C16" s="74">
        <v>307</v>
      </c>
      <c r="D16" s="33" t="s">
        <v>50</v>
      </c>
      <c r="E16" s="68">
        <v>0</v>
      </c>
      <c r="F16" s="68"/>
      <c r="G16" s="77">
        <f t="shared" si="0"/>
        <v>0</v>
      </c>
      <c r="I16" s="58"/>
      <c r="K16" s="60"/>
      <c r="L16" s="60"/>
    </row>
    <row r="17" spans="3:13">
      <c r="C17" s="74">
        <v>308</v>
      </c>
      <c r="D17" s="33" t="s">
        <v>51</v>
      </c>
      <c r="E17" s="68"/>
      <c r="F17" s="68">
        <v>0</v>
      </c>
      <c r="G17" s="77">
        <f t="shared" si="0"/>
        <v>0</v>
      </c>
      <c r="I17" s="58"/>
      <c r="K17" s="59" t="s">
        <v>52</v>
      </c>
      <c r="L17" s="78">
        <f>(ABS(SUM(F10:F17))-I9)/L9</f>
        <v>1540</v>
      </c>
      <c r="M17" s="28">
        <v>1200</v>
      </c>
    </row>
    <row r="18" spans="3:13">
      <c r="D18" s="79"/>
      <c r="E18" s="80">
        <f>SUM(E10:E17)</f>
        <v>48000</v>
      </c>
      <c r="F18" s="80">
        <f>SUM(F10:F17)</f>
        <v>-54800</v>
      </c>
      <c r="G18" s="81">
        <f>SUM(G10:G17)</f>
        <v>-6800</v>
      </c>
      <c r="I18" s="58"/>
      <c r="K18" s="59" t="s">
        <v>53</v>
      </c>
      <c r="L18" s="82">
        <f>-(F14+F17)/L9</f>
        <v>152.5</v>
      </c>
    </row>
    <row r="19" spans="3:13">
      <c r="E19" s="56"/>
      <c r="F19" s="56"/>
      <c r="I19" s="58"/>
      <c r="K19" s="60"/>
      <c r="L19" s="60"/>
    </row>
    <row r="20" spans="3:13">
      <c r="E20" s="56"/>
      <c r="F20" s="56"/>
      <c r="I20" s="58"/>
      <c r="K20" s="60"/>
      <c r="L20" s="60"/>
    </row>
    <row r="21" spans="3:13" s="4" customFormat="1" ht="20.25">
      <c r="D21" s="61" t="s">
        <v>361</v>
      </c>
      <c r="E21" s="56"/>
      <c r="F21" s="56"/>
      <c r="I21" s="58"/>
      <c r="K21" s="60"/>
      <c r="L21" s="60"/>
    </row>
    <row r="22" spans="3:13" s="4" customFormat="1">
      <c r="E22" s="56"/>
      <c r="F22" s="56"/>
      <c r="I22" s="58"/>
      <c r="K22" s="60"/>
      <c r="L22" s="60"/>
    </row>
    <row r="23" spans="3:13" s="4" customFormat="1" ht="18">
      <c r="C23" s="62" t="s">
        <v>39</v>
      </c>
      <c r="D23" s="63" t="s">
        <v>40</v>
      </c>
      <c r="E23" s="64" t="s">
        <v>41</v>
      </c>
      <c r="F23" s="64" t="s">
        <v>42</v>
      </c>
      <c r="G23" s="62" t="s">
        <v>4</v>
      </c>
      <c r="I23" s="58">
        <f>G32</f>
        <v>-8950</v>
      </c>
      <c r="J23" s="4">
        <v>18500</v>
      </c>
      <c r="K23" s="59" t="s">
        <v>43</v>
      </c>
      <c r="L23" s="66">
        <v>50</v>
      </c>
    </row>
    <row r="24" spans="3:13" s="4" customFormat="1">
      <c r="C24" s="67">
        <v>401</v>
      </c>
      <c r="D24" s="71" t="s">
        <v>55</v>
      </c>
      <c r="E24" s="72"/>
      <c r="F24" s="83">
        <v>-25000</v>
      </c>
      <c r="G24" s="84">
        <f t="shared" ref="G24:G30" si="1">SUM(E24:F24)</f>
        <v>-25000</v>
      </c>
      <c r="I24" s="58"/>
      <c r="K24" s="60"/>
      <c r="L24" s="60"/>
    </row>
    <row r="25" spans="3:13" s="4" customFormat="1">
      <c r="C25" s="67">
        <v>402</v>
      </c>
      <c r="D25" s="71" t="s">
        <v>56</v>
      </c>
      <c r="E25" s="72"/>
      <c r="F25" s="72">
        <v>-3000</v>
      </c>
      <c r="G25" s="85">
        <f t="shared" si="1"/>
        <v>-3000</v>
      </c>
      <c r="I25" s="58"/>
      <c r="K25" s="60"/>
      <c r="L25" s="60"/>
    </row>
    <row r="26" spans="3:13" s="4" customFormat="1">
      <c r="C26" s="74">
        <v>403</v>
      </c>
      <c r="D26" s="19" t="s">
        <v>362</v>
      </c>
      <c r="E26" s="68"/>
      <c r="F26" s="86">
        <f>-700*60</f>
        <v>-42000</v>
      </c>
      <c r="G26" s="87">
        <f t="shared" si="1"/>
        <v>-42000</v>
      </c>
      <c r="I26" s="58"/>
      <c r="K26" s="60"/>
      <c r="L26" s="60"/>
    </row>
    <row r="27" spans="3:13" s="4" customFormat="1">
      <c r="C27" s="74">
        <v>404</v>
      </c>
      <c r="D27" s="33" t="s">
        <v>58</v>
      </c>
      <c r="E27" s="68"/>
      <c r="F27" s="68">
        <f>-700*6</f>
        <v>-4200</v>
      </c>
      <c r="G27" s="88">
        <f t="shared" si="1"/>
        <v>-4200</v>
      </c>
      <c r="I27" s="58"/>
      <c r="K27" s="60"/>
      <c r="L27" s="60"/>
    </row>
    <row r="28" spans="3:13" s="4" customFormat="1">
      <c r="C28" s="74">
        <v>405</v>
      </c>
      <c r="D28" s="33" t="s">
        <v>363</v>
      </c>
      <c r="E28" s="68"/>
      <c r="F28" s="68">
        <f>-L23*65*3</f>
        <v>-9750</v>
      </c>
      <c r="G28" s="87">
        <f t="shared" si="1"/>
        <v>-9750</v>
      </c>
      <c r="I28" s="58"/>
      <c r="K28" s="60"/>
      <c r="L28" s="60"/>
    </row>
    <row r="29" spans="3:13" s="4" customFormat="1">
      <c r="C29" s="74">
        <v>406</v>
      </c>
      <c r="D29" s="19" t="s">
        <v>364</v>
      </c>
      <c r="E29" s="68">
        <f>L23*M31</f>
        <v>75000</v>
      </c>
      <c r="F29" s="68"/>
      <c r="G29" s="87">
        <f t="shared" si="1"/>
        <v>75000</v>
      </c>
      <c r="I29" s="58"/>
      <c r="K29" s="60"/>
      <c r="L29" s="60"/>
    </row>
    <row r="30" spans="3:13" s="4" customFormat="1">
      <c r="C30" s="74">
        <v>407</v>
      </c>
      <c r="D30" s="33" t="s">
        <v>50</v>
      </c>
      <c r="E30" s="68">
        <v>0</v>
      </c>
      <c r="F30" s="68"/>
      <c r="G30" s="87">
        <f t="shared" si="1"/>
        <v>0</v>
      </c>
      <c r="I30" s="58"/>
      <c r="K30" s="60"/>
      <c r="L30" s="60"/>
    </row>
    <row r="31" spans="3:13" s="4" customFormat="1">
      <c r="C31" s="74"/>
      <c r="D31" s="19"/>
      <c r="E31" s="68"/>
      <c r="F31" s="68"/>
      <c r="G31" s="87"/>
      <c r="I31" s="58"/>
      <c r="K31" s="59" t="s">
        <v>52</v>
      </c>
      <c r="L31" s="78">
        <f>(ABS(SUM(F24:F31))-I23)/L23</f>
        <v>1858</v>
      </c>
      <c r="M31" s="4">
        <v>1500</v>
      </c>
    </row>
    <row r="32" spans="3:13" s="4" customFormat="1">
      <c r="D32" s="79"/>
      <c r="E32" s="80">
        <f>SUM(E24:E31)</f>
        <v>75000</v>
      </c>
      <c r="F32" s="80">
        <f>SUM(F24:F31)</f>
        <v>-83950</v>
      </c>
      <c r="G32" s="89">
        <f>SUM(G24:G31)</f>
        <v>-8950</v>
      </c>
      <c r="I32" s="58"/>
      <c r="K32" s="59" t="s">
        <v>53</v>
      </c>
      <c r="L32" s="60">
        <v>195</v>
      </c>
    </row>
    <row r="33" spans="3:13" s="4" customFormat="1">
      <c r="E33" s="56"/>
      <c r="F33" s="56"/>
      <c r="G33" s="2"/>
      <c r="I33" s="58"/>
      <c r="K33" s="60"/>
      <c r="L33" s="60"/>
    </row>
    <row r="34" spans="3:13" s="4" customFormat="1" ht="20.25">
      <c r="D34" s="61" t="s">
        <v>379</v>
      </c>
      <c r="E34" s="56"/>
      <c r="F34" s="56"/>
      <c r="I34" s="58"/>
      <c r="K34" s="60"/>
      <c r="L34" s="60"/>
    </row>
    <row r="35" spans="3:13" s="4" customFormat="1">
      <c r="E35" s="56"/>
      <c r="F35" s="56"/>
      <c r="I35" s="58"/>
      <c r="K35" s="60"/>
      <c r="L35" s="60"/>
    </row>
    <row r="36" spans="3:13" s="4" customFormat="1" ht="18">
      <c r="C36" s="62" t="s">
        <v>39</v>
      </c>
      <c r="D36" s="63" t="s">
        <v>40</v>
      </c>
      <c r="E36" s="64" t="s">
        <v>41</v>
      </c>
      <c r="F36" s="64" t="s">
        <v>42</v>
      </c>
      <c r="G36" s="62" t="s">
        <v>4</v>
      </c>
      <c r="I36" s="58">
        <f>G39</f>
        <v>-1200</v>
      </c>
      <c r="J36" s="4">
        <v>1200</v>
      </c>
      <c r="K36" s="59" t="s">
        <v>43</v>
      </c>
      <c r="L36" s="66">
        <v>12</v>
      </c>
    </row>
    <row r="37" spans="3:13" s="4" customFormat="1">
      <c r="C37" s="67">
        <v>401</v>
      </c>
      <c r="D37" s="71" t="s">
        <v>365</v>
      </c>
      <c r="E37" s="72"/>
      <c r="F37" s="83">
        <v>-1200</v>
      </c>
      <c r="G37" s="84">
        <f t="shared" ref="G37" si="2">SUM(E37:F37)</f>
        <v>-1200</v>
      </c>
      <c r="I37" s="58"/>
      <c r="K37" s="60"/>
      <c r="L37" s="60"/>
    </row>
    <row r="38" spans="3:13" s="4" customFormat="1">
      <c r="C38" s="74"/>
      <c r="D38" s="19"/>
      <c r="E38" s="68"/>
      <c r="F38" s="68"/>
      <c r="G38" s="87"/>
      <c r="I38" s="58"/>
      <c r="K38" s="59" t="s">
        <v>52</v>
      </c>
      <c r="L38" s="78">
        <f>(ABS(SUM(F37:F38))-I36)/L36</f>
        <v>200</v>
      </c>
      <c r="M38" s="4">
        <v>0</v>
      </c>
    </row>
    <row r="39" spans="3:13" s="4" customFormat="1">
      <c r="D39" s="79"/>
      <c r="E39" s="80">
        <f>SUM(E37:E38)</f>
        <v>0</v>
      </c>
      <c r="F39" s="80">
        <f>SUM(F37:F38)</f>
        <v>-1200</v>
      </c>
      <c r="G39" s="89">
        <f>SUM(G37:G38)</f>
        <v>-1200</v>
      </c>
      <c r="I39" s="58"/>
      <c r="K39" s="59" t="s">
        <v>53</v>
      </c>
      <c r="L39" s="60">
        <v>195</v>
      </c>
    </row>
    <row r="40" spans="3:13" s="4" customFormat="1">
      <c r="E40" s="56"/>
      <c r="F40" s="56"/>
      <c r="I40" s="58"/>
      <c r="K40" s="60"/>
      <c r="L40" s="60"/>
    </row>
    <row r="41" spans="3:13" s="4" customFormat="1" ht="20.25">
      <c r="D41" s="61" t="s">
        <v>366</v>
      </c>
      <c r="E41" s="56"/>
      <c r="F41" s="56"/>
      <c r="I41" s="58"/>
      <c r="K41" s="60"/>
      <c r="L41" s="60"/>
    </row>
    <row r="42" spans="3:13" s="4" customFormat="1">
      <c r="E42" s="56"/>
      <c r="F42" s="56"/>
      <c r="I42" s="58"/>
      <c r="K42" s="60"/>
      <c r="L42" s="60"/>
    </row>
    <row r="43" spans="3:13" s="4" customFormat="1" ht="18">
      <c r="C43" s="62" t="s">
        <v>39</v>
      </c>
      <c r="D43" s="63" t="s">
        <v>40</v>
      </c>
      <c r="E43" s="64" t="s">
        <v>41</v>
      </c>
      <c r="F43" s="64" t="s">
        <v>42</v>
      </c>
      <c r="G43" s="62" t="s">
        <v>4</v>
      </c>
      <c r="I43" s="58">
        <f>G55</f>
        <v>-5910</v>
      </c>
      <c r="J43" s="4">
        <v>13500</v>
      </c>
      <c r="K43" s="59" t="s">
        <v>43</v>
      </c>
      <c r="L43" s="66">
        <v>30</v>
      </c>
    </row>
    <row r="44" spans="3:13" s="4" customFormat="1">
      <c r="C44" s="67">
        <v>501</v>
      </c>
      <c r="D44" s="71" t="s">
        <v>367</v>
      </c>
      <c r="E44" s="90"/>
      <c r="F44" s="91">
        <v>-50000</v>
      </c>
      <c r="G44" s="84">
        <f t="shared" ref="G44:G51" si="3">SUM(E44:F44)</f>
        <v>-50000</v>
      </c>
      <c r="I44" s="58"/>
      <c r="K44" s="60"/>
      <c r="L44" s="60"/>
    </row>
    <row r="45" spans="3:13" s="4" customFormat="1">
      <c r="C45" s="67">
        <v>502</v>
      </c>
      <c r="D45" s="71" t="s">
        <v>56</v>
      </c>
      <c r="E45" s="90"/>
      <c r="F45" s="90">
        <v>0</v>
      </c>
      <c r="G45" s="84">
        <f t="shared" si="3"/>
        <v>0</v>
      </c>
      <c r="I45" s="58"/>
      <c r="K45" s="60"/>
      <c r="L45" s="60"/>
    </row>
    <row r="46" spans="3:13" s="4" customFormat="1">
      <c r="C46" s="67">
        <v>503</v>
      </c>
      <c r="D46" s="71" t="s">
        <v>368</v>
      </c>
      <c r="E46" s="90"/>
      <c r="F46" s="90">
        <f>-5000</f>
        <v>-5000</v>
      </c>
      <c r="G46" s="84">
        <f t="shared" si="3"/>
        <v>-5000</v>
      </c>
      <c r="I46" s="58"/>
      <c r="K46" s="60"/>
      <c r="L46" s="60"/>
    </row>
    <row r="47" spans="3:13" s="4" customFormat="1">
      <c r="C47" s="74">
        <v>504</v>
      </c>
      <c r="D47" s="92" t="s">
        <v>369</v>
      </c>
      <c r="E47" s="93"/>
      <c r="F47" s="93">
        <f>-250*L43</f>
        <v>-7500</v>
      </c>
      <c r="G47" s="87">
        <f t="shared" si="3"/>
        <v>-7500</v>
      </c>
      <c r="I47" s="58"/>
      <c r="K47" s="60"/>
      <c r="L47" s="60"/>
    </row>
    <row r="48" spans="3:13" s="4" customFormat="1">
      <c r="C48" s="74">
        <v>506</v>
      </c>
      <c r="D48" s="92" t="s">
        <v>65</v>
      </c>
      <c r="E48" s="93"/>
      <c r="F48" s="93">
        <f>-20*4*2</f>
        <v>-160</v>
      </c>
      <c r="G48" s="87">
        <f t="shared" si="3"/>
        <v>-160</v>
      </c>
      <c r="I48" s="58"/>
      <c r="K48" s="60"/>
      <c r="L48" s="60"/>
    </row>
    <row r="49" spans="3:13" s="4" customFormat="1">
      <c r="C49" s="74">
        <v>507</v>
      </c>
      <c r="D49" s="92" t="s">
        <v>66</v>
      </c>
      <c r="E49" s="93"/>
      <c r="F49" s="93">
        <f>-250*4</f>
        <v>-1000</v>
      </c>
      <c r="G49" s="87">
        <f t="shared" si="3"/>
        <v>-1000</v>
      </c>
      <c r="I49" s="58"/>
      <c r="K49" s="60"/>
      <c r="L49" s="60"/>
    </row>
    <row r="50" spans="3:13" s="4" customFormat="1">
      <c r="C50" s="74">
        <v>508</v>
      </c>
      <c r="D50" s="92" t="s">
        <v>370</v>
      </c>
      <c r="E50" s="93"/>
      <c r="F50" s="93">
        <f>-175*L43</f>
        <v>-5250</v>
      </c>
      <c r="G50" s="87">
        <f t="shared" si="3"/>
        <v>-5250</v>
      </c>
      <c r="I50" s="58"/>
      <c r="K50" s="60"/>
      <c r="L50" s="60"/>
    </row>
    <row r="51" spans="3:13" s="4" customFormat="1">
      <c r="C51" s="74">
        <v>509</v>
      </c>
      <c r="D51" s="92" t="s">
        <v>371</v>
      </c>
      <c r="E51" s="93">
        <f>L43*M54</f>
        <v>63000</v>
      </c>
      <c r="F51" s="93"/>
      <c r="G51" s="87">
        <f t="shared" si="3"/>
        <v>63000</v>
      </c>
      <c r="I51" s="58"/>
      <c r="K51" s="60"/>
      <c r="L51" s="60"/>
    </row>
    <row r="52" spans="3:13" s="4" customFormat="1">
      <c r="C52" s="74">
        <v>510</v>
      </c>
      <c r="D52" s="94" t="s">
        <v>69</v>
      </c>
      <c r="E52" s="93">
        <v>0</v>
      </c>
      <c r="F52" s="33"/>
      <c r="G52" s="74">
        <v>0</v>
      </c>
      <c r="I52" s="58"/>
      <c r="K52" s="60"/>
      <c r="L52" s="60"/>
    </row>
    <row r="53" spans="3:13" s="4" customFormat="1">
      <c r="C53" s="95">
        <v>511</v>
      </c>
      <c r="D53" s="96" t="s">
        <v>70</v>
      </c>
      <c r="E53" s="97">
        <v>0</v>
      </c>
      <c r="F53" s="98"/>
      <c r="G53" s="99">
        <v>0</v>
      </c>
      <c r="I53" s="58"/>
      <c r="K53" s="60"/>
      <c r="L53" s="60"/>
    </row>
    <row r="54" spans="3:13" s="4" customFormat="1">
      <c r="C54" s="74"/>
      <c r="D54" s="19"/>
      <c r="E54" s="93"/>
      <c r="F54" s="93"/>
      <c r="G54" s="87">
        <f>SUM(E54:F54)</f>
        <v>0</v>
      </c>
      <c r="I54" s="58"/>
      <c r="K54" s="59" t="s">
        <v>52</v>
      </c>
      <c r="L54" s="78">
        <f>(ABS(SUM(F44:F54))-I43)/L43</f>
        <v>2494</v>
      </c>
      <c r="M54" s="4">
        <v>2100</v>
      </c>
    </row>
    <row r="55" spans="3:13" s="4" customFormat="1">
      <c r="E55" s="56">
        <f>SUM(E44:E54)</f>
        <v>63000</v>
      </c>
      <c r="F55" s="56">
        <f>SUM(F44:F54)</f>
        <v>-68910</v>
      </c>
      <c r="G55" s="89">
        <f>SUM(G44:G54)</f>
        <v>-5910</v>
      </c>
      <c r="I55" s="58"/>
      <c r="K55" s="59" t="s">
        <v>71</v>
      </c>
      <c r="L55" s="60"/>
    </row>
    <row r="56" spans="3:13" s="4" customFormat="1">
      <c r="E56" s="56"/>
      <c r="F56" s="56"/>
      <c r="G56" s="2"/>
      <c r="I56" s="58"/>
      <c r="K56" s="60"/>
      <c r="L56" s="60"/>
    </row>
    <row r="57" spans="3:13" s="4" customFormat="1">
      <c r="E57" s="56"/>
      <c r="F57" s="56"/>
      <c r="I57" s="58"/>
      <c r="K57" s="60"/>
      <c r="L57" s="60"/>
    </row>
    <row r="58" spans="3:13" s="4" customFormat="1" ht="20.25">
      <c r="D58" s="61" t="s">
        <v>372</v>
      </c>
      <c r="E58" s="56"/>
      <c r="F58" s="56"/>
      <c r="I58" s="58"/>
      <c r="K58" s="60"/>
      <c r="L58" s="60"/>
    </row>
    <row r="59" spans="3:13" s="4" customFormat="1">
      <c r="E59" s="56"/>
      <c r="F59" s="56"/>
      <c r="I59" s="58"/>
      <c r="K59" s="60"/>
      <c r="L59" s="60"/>
    </row>
    <row r="60" spans="3:13" s="4" customFormat="1" ht="18">
      <c r="C60" s="62" t="s">
        <v>39</v>
      </c>
      <c r="D60" s="63" t="s">
        <v>40</v>
      </c>
      <c r="E60" s="64" t="s">
        <v>41</v>
      </c>
      <c r="F60" s="64" t="s">
        <v>42</v>
      </c>
      <c r="G60" s="62" t="s">
        <v>4</v>
      </c>
      <c r="I60" s="58">
        <f>G73</f>
        <v>-52520</v>
      </c>
      <c r="J60" s="4">
        <v>13500</v>
      </c>
      <c r="K60" s="59" t="s">
        <v>43</v>
      </c>
      <c r="L60" s="66">
        <v>36</v>
      </c>
      <c r="M60" s="4">
        <v>1500</v>
      </c>
    </row>
    <row r="61" spans="3:13" s="4" customFormat="1">
      <c r="C61" s="67">
        <v>601</v>
      </c>
      <c r="D61" s="25" t="s">
        <v>373</v>
      </c>
      <c r="E61" s="90"/>
      <c r="F61" s="91">
        <f>-M60*L60</f>
        <v>-54000</v>
      </c>
      <c r="G61" s="84">
        <f>SUM(E61:F61)</f>
        <v>-54000</v>
      </c>
      <c r="I61" s="58"/>
      <c r="K61" s="60"/>
      <c r="L61" s="60"/>
    </row>
    <row r="62" spans="3:13" s="4" customFormat="1">
      <c r="C62" s="67">
        <v>602</v>
      </c>
      <c r="D62" s="25" t="s">
        <v>374</v>
      </c>
      <c r="E62" s="90"/>
      <c r="F62" s="90">
        <v>-5000</v>
      </c>
      <c r="G62" s="84">
        <f>SUM(E62:F62)</f>
        <v>-5000</v>
      </c>
      <c r="I62" s="58"/>
      <c r="K62" s="60"/>
      <c r="L62" s="60"/>
    </row>
    <row r="63" spans="3:13" s="4" customFormat="1">
      <c r="C63" s="74">
        <v>603</v>
      </c>
      <c r="D63" s="19" t="s">
        <v>375</v>
      </c>
      <c r="E63" s="93"/>
      <c r="F63" s="93">
        <f>-800*L60</f>
        <v>-28800</v>
      </c>
      <c r="G63" s="87">
        <f>SUM(E63:F63)</f>
        <v>-28800</v>
      </c>
      <c r="I63" s="58"/>
      <c r="K63" s="60"/>
      <c r="L63" s="60"/>
    </row>
    <row r="64" spans="3:13" s="4" customFormat="1">
      <c r="C64" s="74">
        <v>604</v>
      </c>
      <c r="D64" s="19" t="s">
        <v>376</v>
      </c>
      <c r="E64" s="93"/>
      <c r="F64" s="93">
        <f>-800*4</f>
        <v>-3200</v>
      </c>
      <c r="G64" s="87">
        <f>SUM(E64:F64)</f>
        <v>-3200</v>
      </c>
      <c r="I64" s="58"/>
      <c r="K64" s="60"/>
      <c r="L64" s="60"/>
    </row>
    <row r="65" spans="3:13" s="4" customFormat="1">
      <c r="C65" s="74">
        <v>605</v>
      </c>
      <c r="D65" s="33" t="s">
        <v>77</v>
      </c>
      <c r="E65" s="93"/>
      <c r="F65" s="93">
        <f>-610*L60</f>
        <v>-21960</v>
      </c>
      <c r="G65" s="87">
        <f>F65</f>
        <v>-21960</v>
      </c>
      <c r="I65" s="58"/>
      <c r="K65" s="60"/>
      <c r="L65" s="60"/>
    </row>
    <row r="66" spans="3:13" s="4" customFormat="1">
      <c r="C66" s="95">
        <v>606</v>
      </c>
      <c r="D66" s="33" t="s">
        <v>78</v>
      </c>
      <c r="E66" s="93"/>
      <c r="F66" s="93">
        <f>-1000*8</f>
        <v>-8000</v>
      </c>
      <c r="G66" s="87">
        <f>F66</f>
        <v>-8000</v>
      </c>
      <c r="I66" s="58"/>
      <c r="K66" s="60"/>
      <c r="L66" s="60"/>
    </row>
    <row r="67" spans="3:13" s="4" customFormat="1">
      <c r="C67" s="95">
        <v>607</v>
      </c>
      <c r="D67" s="33" t="s">
        <v>79</v>
      </c>
      <c r="E67" s="93"/>
      <c r="F67" s="93">
        <f>-390*4</f>
        <v>-1560</v>
      </c>
      <c r="G67" s="87">
        <f>SUM(E67:F67)</f>
        <v>-1560</v>
      </c>
      <c r="I67" s="58"/>
      <c r="K67" s="60"/>
      <c r="L67" s="60"/>
    </row>
    <row r="68" spans="3:13" s="4" customFormat="1">
      <c r="C68" s="95">
        <v>608</v>
      </c>
      <c r="D68" s="19" t="s">
        <v>377</v>
      </c>
      <c r="E68" s="100">
        <f>L60*M72</f>
        <v>72000</v>
      </c>
      <c r="F68" s="93"/>
      <c r="G68" s="87">
        <f>SUM(E68:F68)</f>
        <v>72000</v>
      </c>
      <c r="H68" s="4">
        <v>80000</v>
      </c>
      <c r="I68" s="58"/>
      <c r="K68" s="60"/>
      <c r="L68" s="60"/>
    </row>
    <row r="69" spans="3:13" s="4" customFormat="1">
      <c r="C69" s="95">
        <v>609</v>
      </c>
      <c r="D69" s="96" t="s">
        <v>81</v>
      </c>
      <c r="E69" s="98">
        <v>0</v>
      </c>
      <c r="F69" s="98"/>
      <c r="G69" s="99"/>
      <c r="I69" s="58"/>
      <c r="K69" s="60"/>
      <c r="L69" s="60"/>
    </row>
    <row r="70" spans="3:13" s="4" customFormat="1">
      <c r="C70" s="95"/>
      <c r="D70" s="96"/>
      <c r="E70" s="97"/>
      <c r="F70" s="98"/>
      <c r="G70" s="99"/>
      <c r="I70" s="58"/>
      <c r="K70" s="60"/>
      <c r="L70" s="60"/>
    </row>
    <row r="71" spans="3:13" s="4" customFormat="1">
      <c r="C71" s="95"/>
      <c r="D71" s="96"/>
      <c r="E71" s="97"/>
      <c r="F71" s="98"/>
      <c r="G71" s="99"/>
      <c r="I71" s="58"/>
      <c r="K71" s="60"/>
      <c r="L71" s="60"/>
    </row>
    <row r="72" spans="3:13" s="4" customFormat="1">
      <c r="C72" s="74">
        <v>610</v>
      </c>
      <c r="D72" s="19" t="s">
        <v>82</v>
      </c>
      <c r="E72" s="93"/>
      <c r="F72" s="93">
        <v>-2000</v>
      </c>
      <c r="G72" s="87">
        <f>SUM(E72:F72)</f>
        <v>-2000</v>
      </c>
      <c r="I72" s="58"/>
      <c r="K72" s="59" t="s">
        <v>52</v>
      </c>
      <c r="L72" s="78">
        <f>(ABS(SUM(F61:F72))-I60)/L60</f>
        <v>4917.7777777777774</v>
      </c>
      <c r="M72" s="4">
        <v>2000</v>
      </c>
    </row>
    <row r="73" spans="3:13" s="4" customFormat="1">
      <c r="D73" s="28" t="s">
        <v>83</v>
      </c>
      <c r="E73" s="56">
        <f>SUM(E61:E72)</f>
        <v>72000</v>
      </c>
      <c r="F73" s="56">
        <f>SUM(F61:F72)</f>
        <v>-124520</v>
      </c>
      <c r="G73" s="89">
        <f>SUM(G61:G72)</f>
        <v>-52520</v>
      </c>
      <c r="I73" s="58"/>
      <c r="K73" s="59" t="s">
        <v>71</v>
      </c>
      <c r="L73" s="60"/>
    </row>
    <row r="74" spans="3:13" s="4" customFormat="1">
      <c r="D74" s="28"/>
      <c r="E74" s="56"/>
      <c r="F74" s="56"/>
      <c r="I74" s="58"/>
      <c r="K74" s="60"/>
      <c r="L74" s="60"/>
    </row>
    <row r="75" spans="3:13" s="4" customFormat="1">
      <c r="E75" s="56"/>
      <c r="F75" s="56"/>
      <c r="I75" s="58"/>
      <c r="K75" s="60"/>
      <c r="L75" s="60"/>
    </row>
    <row r="76" spans="3:13" s="4" customFormat="1">
      <c r="D76" s="28"/>
      <c r="E76" s="56"/>
      <c r="F76" s="56"/>
      <c r="I76" s="58"/>
      <c r="K76" s="60"/>
      <c r="L76" s="60"/>
    </row>
    <row r="77" spans="3:13" s="4" customFormat="1" ht="20.25">
      <c r="D77" s="61" t="s">
        <v>84</v>
      </c>
      <c r="E77" s="56"/>
      <c r="F77" s="56"/>
      <c r="I77" s="58"/>
      <c r="K77" s="60"/>
      <c r="L77" s="60"/>
    </row>
    <row r="78" spans="3:13" s="4" customFormat="1">
      <c r="E78" s="56"/>
      <c r="F78" s="56"/>
      <c r="I78" s="58"/>
      <c r="K78" s="60"/>
      <c r="L78" s="60"/>
    </row>
    <row r="79" spans="3:13" s="4" customFormat="1" ht="18">
      <c r="C79" s="62" t="s">
        <v>39</v>
      </c>
      <c r="D79" s="63" t="s">
        <v>40</v>
      </c>
      <c r="E79" s="64" t="s">
        <v>41</v>
      </c>
      <c r="F79" s="64" t="s">
        <v>42</v>
      </c>
      <c r="G79" s="62" t="s">
        <v>4</v>
      </c>
      <c r="I79" s="58">
        <f>G84</f>
        <v>0</v>
      </c>
      <c r="J79" s="4">
        <v>4800</v>
      </c>
      <c r="K79" s="60"/>
      <c r="L79" s="60">
        <v>53</v>
      </c>
    </row>
    <row r="80" spans="3:13" s="4" customFormat="1">
      <c r="C80" s="67">
        <v>701</v>
      </c>
      <c r="D80" s="71" t="s">
        <v>85</v>
      </c>
      <c r="E80" s="90"/>
      <c r="F80" s="90">
        <v>0</v>
      </c>
      <c r="G80" s="84">
        <f>SUM(E80:F80)</f>
        <v>0</v>
      </c>
      <c r="I80" s="58"/>
      <c r="K80" s="60"/>
      <c r="L80" s="60"/>
    </row>
    <row r="81" spans="3:12" s="4" customFormat="1">
      <c r="C81" s="101">
        <v>702</v>
      </c>
      <c r="D81" s="102" t="s">
        <v>86</v>
      </c>
      <c r="E81" s="103"/>
      <c r="F81" s="103">
        <v>-30000</v>
      </c>
      <c r="G81" s="84">
        <f>SUM(E81:F81)</f>
        <v>-30000</v>
      </c>
      <c r="I81" s="58"/>
      <c r="K81" s="60"/>
      <c r="L81" s="60"/>
    </row>
    <row r="82" spans="3:12" s="4" customFormat="1">
      <c r="C82" s="95">
        <v>703</v>
      </c>
      <c r="D82" s="96" t="s">
        <v>87</v>
      </c>
      <c r="E82" s="98"/>
      <c r="F82" s="98">
        <v>-51700</v>
      </c>
      <c r="G82" s="84">
        <f>SUM(E82:F82)</f>
        <v>-51700</v>
      </c>
      <c r="I82" s="58"/>
      <c r="K82" s="60"/>
      <c r="L82" s="60"/>
    </row>
    <row r="83" spans="3:12" s="4" customFormat="1">
      <c r="C83" s="74">
        <v>704</v>
      </c>
      <c r="D83" s="33" t="s">
        <v>88</v>
      </c>
      <c r="E83" s="93">
        <f>-SUM(F80:F83)</f>
        <v>81700</v>
      </c>
      <c r="F83" s="93"/>
      <c r="G83" s="84">
        <f>SUM(E83:F83)</f>
        <v>81700</v>
      </c>
      <c r="I83" s="58"/>
      <c r="K83" s="60"/>
      <c r="L83" s="60"/>
    </row>
    <row r="84" spans="3:12" s="4" customFormat="1">
      <c r="E84" s="56">
        <f>SUM(E80:E83)</f>
        <v>81700</v>
      </c>
      <c r="F84" s="56">
        <f>SUM(F80:F83)</f>
        <v>-81700</v>
      </c>
      <c r="G84" s="89">
        <f>SUM(G80:G83)</f>
        <v>0</v>
      </c>
      <c r="I84" s="58"/>
      <c r="K84" s="60"/>
      <c r="L84" s="60">
        <f>G83/L79</f>
        <v>1541.5094339622642</v>
      </c>
    </row>
    <row r="85" spans="3:12" s="4" customFormat="1">
      <c r="E85" s="56"/>
      <c r="F85" s="56"/>
      <c r="G85" s="2"/>
      <c r="I85" s="58"/>
      <c r="K85" s="60"/>
      <c r="L85" s="60"/>
    </row>
    <row r="86" spans="3:12" s="4" customFormat="1">
      <c r="E86" s="56"/>
      <c r="F86" s="56"/>
      <c r="I86" s="58"/>
      <c r="K86" s="60"/>
      <c r="L86" s="60"/>
    </row>
    <row r="87" spans="3:12" s="4" customFormat="1" ht="20.25">
      <c r="D87" s="61" t="s">
        <v>89</v>
      </c>
      <c r="E87" s="56"/>
      <c r="F87" s="56"/>
      <c r="I87" s="58"/>
      <c r="K87" s="60"/>
      <c r="L87" s="60"/>
    </row>
    <row r="88" spans="3:12" s="4" customFormat="1">
      <c r="E88" s="56"/>
      <c r="F88" s="56"/>
      <c r="I88" s="58"/>
      <c r="K88" s="60"/>
      <c r="L88" s="60"/>
    </row>
    <row r="89" spans="3:12" s="4" customFormat="1" ht="18">
      <c r="C89" s="62" t="s">
        <v>39</v>
      </c>
      <c r="D89" s="63" t="s">
        <v>40</v>
      </c>
      <c r="E89" s="64" t="s">
        <v>41</v>
      </c>
      <c r="F89" s="64" t="s">
        <v>42</v>
      </c>
      <c r="G89" s="62" t="s">
        <v>4</v>
      </c>
      <c r="I89" s="58">
        <f>G98</f>
        <v>-11400</v>
      </c>
      <c r="J89" s="4">
        <v>1000</v>
      </c>
      <c r="K89" s="60"/>
      <c r="L89" s="60"/>
    </row>
    <row r="90" spans="3:12" s="4" customFormat="1">
      <c r="C90" s="67">
        <v>4020</v>
      </c>
      <c r="D90" s="25" t="s">
        <v>90</v>
      </c>
      <c r="E90" s="90"/>
      <c r="F90" s="90">
        <v>-2400</v>
      </c>
      <c r="G90" s="84">
        <f>SUM(E90:F90)</f>
        <v>-2400</v>
      </c>
      <c r="I90" s="58"/>
      <c r="K90" s="60"/>
      <c r="L90" s="60"/>
    </row>
    <row r="91" spans="3:12" s="4" customFormat="1">
      <c r="C91" s="74">
        <v>4020</v>
      </c>
      <c r="D91" s="33" t="s">
        <v>91</v>
      </c>
      <c r="E91" s="93"/>
      <c r="F91" s="93">
        <v>-500</v>
      </c>
      <c r="G91" s="87">
        <f t="shared" ref="G91:G95" si="4">SUM(E91:F91)</f>
        <v>-500</v>
      </c>
      <c r="I91" s="58"/>
      <c r="K91" s="60"/>
      <c r="L91" s="60"/>
    </row>
    <row r="92" spans="3:12" s="4" customFormat="1">
      <c r="C92" s="74" t="s">
        <v>92</v>
      </c>
      <c r="D92" s="33" t="s">
        <v>93</v>
      </c>
      <c r="E92" s="93"/>
      <c r="F92" s="93">
        <v>0</v>
      </c>
      <c r="G92" s="87">
        <f t="shared" si="4"/>
        <v>0</v>
      </c>
      <c r="I92" s="58"/>
      <c r="K92" s="60"/>
      <c r="L92" s="60"/>
    </row>
    <row r="93" spans="3:12" s="4" customFormat="1">
      <c r="C93" s="67">
        <v>4015</v>
      </c>
      <c r="D93" s="33" t="s">
        <v>378</v>
      </c>
      <c r="E93" s="93"/>
      <c r="F93" s="93">
        <v>-7500</v>
      </c>
      <c r="G93" s="87">
        <f t="shared" si="4"/>
        <v>-7500</v>
      </c>
      <c r="I93" s="58"/>
      <c r="K93" s="60"/>
      <c r="L93" s="60"/>
    </row>
    <row r="94" spans="3:12" s="4" customFormat="1">
      <c r="C94" s="74" t="s">
        <v>92</v>
      </c>
      <c r="D94" s="104" t="s">
        <v>95</v>
      </c>
      <c r="E94" s="98">
        <v>5000</v>
      </c>
      <c r="F94" s="98"/>
      <c r="G94" s="87">
        <f t="shared" si="4"/>
        <v>5000</v>
      </c>
      <c r="I94" s="58"/>
      <c r="K94" s="60"/>
      <c r="L94" s="60"/>
    </row>
    <row r="95" spans="3:12" s="4" customFormat="1">
      <c r="C95" s="95">
        <v>4030</v>
      </c>
      <c r="D95" s="96" t="s">
        <v>96</v>
      </c>
      <c r="E95" s="98"/>
      <c r="F95" s="98">
        <v>-5000</v>
      </c>
      <c r="G95" s="87">
        <f t="shared" si="4"/>
        <v>-5000</v>
      </c>
      <c r="I95" s="58"/>
      <c r="K95" s="60"/>
      <c r="L95" s="60"/>
    </row>
    <row r="96" spans="3:12" s="4" customFormat="1">
      <c r="C96" s="95"/>
      <c r="D96" s="96"/>
      <c r="E96" s="98"/>
      <c r="F96" s="98"/>
      <c r="G96" s="99"/>
      <c r="I96" s="58"/>
      <c r="K96" s="60"/>
      <c r="L96" s="60"/>
    </row>
    <row r="97" spans="3:12" s="4" customFormat="1">
      <c r="C97" s="74">
        <v>4180</v>
      </c>
      <c r="D97" s="19" t="s">
        <v>97</v>
      </c>
      <c r="E97" s="93"/>
      <c r="F97" s="93">
        <v>-1000</v>
      </c>
      <c r="G97" s="87">
        <f>SUM(E97:F97)</f>
        <v>-1000</v>
      </c>
      <c r="I97" s="58"/>
      <c r="K97" s="60"/>
      <c r="L97" s="60"/>
    </row>
    <row r="98" spans="3:12" s="4" customFormat="1">
      <c r="E98" s="56">
        <f>SUM(E90:E97)</f>
        <v>5000</v>
      </c>
      <c r="F98" s="56">
        <f>SUM(F90:F97)</f>
        <v>-16400</v>
      </c>
      <c r="G98" s="89">
        <f>SUM(G90:G97)</f>
        <v>-11400</v>
      </c>
      <c r="I98" s="58"/>
      <c r="K98" s="60"/>
      <c r="L98" s="60"/>
    </row>
    <row r="99" spans="3:12" s="4" customFormat="1">
      <c r="E99" s="56"/>
      <c r="F99" s="56"/>
      <c r="G99" s="2"/>
      <c r="I99" s="58"/>
    </row>
    <row r="100" spans="3:12" s="4" customFormat="1">
      <c r="E100" s="56"/>
      <c r="F100" s="56"/>
      <c r="G100" s="2"/>
      <c r="I100" s="58"/>
    </row>
    <row r="101" spans="3:12" s="4" customFormat="1">
      <c r="E101" s="56"/>
      <c r="F101" s="56" t="s">
        <v>98</v>
      </c>
      <c r="G101" s="105">
        <f>G18+G32+G55+G84+G73+G98</f>
        <v>-85580</v>
      </c>
      <c r="I101" s="58"/>
    </row>
    <row r="103" spans="3:12" s="4" customFormat="1" ht="20.25">
      <c r="D103" s="61" t="s">
        <v>99</v>
      </c>
      <c r="E103" s="56"/>
      <c r="F103" s="56"/>
    </row>
    <row r="104" spans="3:12" s="4" customFormat="1">
      <c r="E104" s="56"/>
      <c r="F104" s="56"/>
    </row>
    <row r="105" spans="3:12" s="4" customFormat="1" ht="18">
      <c r="C105" s="62" t="s">
        <v>39</v>
      </c>
      <c r="D105" s="63" t="s">
        <v>40</v>
      </c>
      <c r="E105" s="64" t="s">
        <v>41</v>
      </c>
      <c r="F105" s="64" t="s">
        <v>42</v>
      </c>
      <c r="G105" s="62" t="s">
        <v>4</v>
      </c>
      <c r="I105" s="58">
        <f>G110</f>
        <v>10500</v>
      </c>
    </row>
    <row r="106" spans="3:12" s="4" customFormat="1">
      <c r="C106" s="67">
        <v>3177</v>
      </c>
      <c r="D106" s="25" t="s">
        <v>100</v>
      </c>
      <c r="E106" s="90">
        <v>26000</v>
      </c>
      <c r="F106" s="90"/>
      <c r="G106" s="84">
        <f>SUM(E106:F106)</f>
        <v>26000</v>
      </c>
      <c r="I106" s="58"/>
    </row>
    <row r="107" spans="3:12" s="4" customFormat="1">
      <c r="C107" s="74">
        <v>4177</v>
      </c>
      <c r="D107" s="19" t="s">
        <v>101</v>
      </c>
      <c r="E107" s="93"/>
      <c r="F107" s="93">
        <v>-15000</v>
      </c>
      <c r="G107" s="87">
        <f>SUM(E107:F107)</f>
        <v>-15000</v>
      </c>
      <c r="I107" s="58"/>
    </row>
    <row r="108" spans="3:12" s="4" customFormat="1">
      <c r="C108" s="74">
        <v>4177</v>
      </c>
      <c r="D108" s="19" t="s">
        <v>102</v>
      </c>
      <c r="E108" s="93"/>
      <c r="F108" s="93">
        <v>-500</v>
      </c>
      <c r="G108" s="87">
        <f>SUM(E108:F108)</f>
        <v>-500</v>
      </c>
      <c r="I108" s="58"/>
    </row>
    <row r="109" spans="3:12" s="4" customFormat="1">
      <c r="C109" s="74"/>
      <c r="D109" s="19"/>
      <c r="E109" s="93"/>
      <c r="F109" s="93"/>
      <c r="G109" s="87"/>
      <c r="I109" s="58"/>
    </row>
    <row r="110" spans="3:12" s="4" customFormat="1">
      <c r="E110" s="56"/>
      <c r="F110" s="56"/>
      <c r="G110" s="106">
        <f>SUM(G106:G109)</f>
        <v>10500</v>
      </c>
      <c r="I110" s="58"/>
    </row>
    <row r="111" spans="3:12" s="4" customFormat="1">
      <c r="I111" s="58"/>
    </row>
    <row r="112" spans="3:12" s="4" customFormat="1">
      <c r="I112" s="58"/>
    </row>
    <row r="113" spans="3:12" s="4" customFormat="1">
      <c r="I113" s="58"/>
    </row>
    <row r="114" spans="3:12" s="4" customFormat="1" ht="20.25">
      <c r="D114" s="61" t="s">
        <v>103</v>
      </c>
      <c r="E114" s="56"/>
      <c r="F114" s="56"/>
      <c r="I114" s="58"/>
    </row>
    <row r="115" spans="3:12" s="4" customFormat="1">
      <c r="E115" s="56"/>
      <c r="F115" s="56"/>
      <c r="I115" s="58"/>
    </row>
    <row r="116" spans="3:12" s="4" customFormat="1" ht="18">
      <c r="C116" s="62" t="s">
        <v>39</v>
      </c>
      <c r="D116" s="63" t="s">
        <v>40</v>
      </c>
      <c r="E116" s="64" t="s">
        <v>41</v>
      </c>
      <c r="F116" s="64" t="s">
        <v>42</v>
      </c>
      <c r="G116" s="62" t="s">
        <v>4</v>
      </c>
      <c r="I116" s="58">
        <f>G122</f>
        <v>2500</v>
      </c>
      <c r="J116" s="226" t="s">
        <v>338</v>
      </c>
    </row>
    <row r="117" spans="3:12" s="4" customFormat="1">
      <c r="C117" s="67">
        <v>3178</v>
      </c>
      <c r="D117" s="25" t="s">
        <v>145</v>
      </c>
      <c r="E117" s="90">
        <f>90*900</f>
        <v>81000</v>
      </c>
      <c r="F117" s="90"/>
      <c r="G117" s="87">
        <f>SUM(E117:F117)</f>
        <v>81000</v>
      </c>
      <c r="I117" s="58"/>
      <c r="J117" s="226"/>
    </row>
    <row r="118" spans="3:12" s="4" customFormat="1">
      <c r="C118" s="74">
        <v>4178</v>
      </c>
      <c r="D118" s="19" t="s">
        <v>19</v>
      </c>
      <c r="E118" s="93"/>
      <c r="F118" s="93">
        <v>-66500</v>
      </c>
      <c r="G118" s="87">
        <f>SUM(E118:F118)</f>
        <v>-66500</v>
      </c>
      <c r="I118" s="58"/>
      <c r="J118" s="226" t="s">
        <v>339</v>
      </c>
    </row>
    <row r="119" spans="3:12" s="4" customFormat="1">
      <c r="C119" s="74">
        <v>4178</v>
      </c>
      <c r="D119" s="19" t="s">
        <v>105</v>
      </c>
      <c r="E119" s="93"/>
      <c r="F119" s="93">
        <v>-12000</v>
      </c>
      <c r="G119" s="87">
        <f>SUM(E119:F119)</f>
        <v>-12000</v>
      </c>
      <c r="I119" s="58"/>
      <c r="J119" s="226"/>
    </row>
    <row r="120" spans="3:12" s="4" customFormat="1">
      <c r="C120" s="74"/>
      <c r="D120" s="19"/>
      <c r="E120" s="93"/>
      <c r="F120" s="93"/>
      <c r="G120" s="87">
        <f>SUM(E120:F120)</f>
        <v>0</v>
      </c>
      <c r="I120" s="58"/>
      <c r="J120" s="226" t="s">
        <v>340</v>
      </c>
    </row>
    <row r="121" spans="3:12" s="4" customFormat="1">
      <c r="C121" s="74"/>
      <c r="D121" s="19"/>
      <c r="E121" s="93"/>
      <c r="F121" s="93"/>
      <c r="G121" s="87"/>
      <c r="I121" s="58"/>
      <c r="J121" s="226" t="s">
        <v>341</v>
      </c>
      <c r="L121" s="134" t="s">
        <v>353</v>
      </c>
    </row>
    <row r="122" spans="3:12" s="4" customFormat="1">
      <c r="E122" s="56"/>
      <c r="F122" s="56"/>
      <c r="G122" s="106">
        <f>SUM(G117:G121)</f>
        <v>2500</v>
      </c>
      <c r="I122" s="58"/>
      <c r="J122" s="226"/>
    </row>
    <row r="123" spans="3:12" s="4" customFormat="1">
      <c r="I123" s="58"/>
      <c r="J123" s="226" t="s">
        <v>342</v>
      </c>
    </row>
    <row r="124" spans="3:12" s="4" customFormat="1">
      <c r="I124" s="58"/>
      <c r="J124" s="226" t="s">
        <v>343</v>
      </c>
    </row>
    <row r="125" spans="3:12" s="4" customFormat="1" ht="20.25">
      <c r="D125" s="61" t="s">
        <v>106</v>
      </c>
      <c r="E125" s="56"/>
      <c r="F125" s="56"/>
      <c r="I125" s="58"/>
      <c r="J125" s="226" t="s">
        <v>344</v>
      </c>
    </row>
    <row r="126" spans="3:12" s="4" customFormat="1">
      <c r="E126" s="56"/>
      <c r="F126" s="56"/>
      <c r="I126" s="58"/>
      <c r="J126" s="226" t="s">
        <v>345</v>
      </c>
    </row>
    <row r="127" spans="3:12" s="4" customFormat="1" ht="18">
      <c r="C127" s="62" t="s">
        <v>39</v>
      </c>
      <c r="D127" s="63" t="s">
        <v>40</v>
      </c>
      <c r="E127" s="64" t="s">
        <v>41</v>
      </c>
      <c r="F127" s="64" t="s">
        <v>42</v>
      </c>
      <c r="G127" s="62" t="s">
        <v>4</v>
      </c>
      <c r="I127" s="58">
        <f>G131</f>
        <v>-30000</v>
      </c>
      <c r="J127" s="226" t="s">
        <v>346</v>
      </c>
    </row>
    <row r="128" spans="3:12" s="4" customFormat="1">
      <c r="C128" s="67">
        <v>7610</v>
      </c>
      <c r="D128" s="25" t="s">
        <v>107</v>
      </c>
      <c r="E128" s="90"/>
      <c r="F128" s="90">
        <v>-10000</v>
      </c>
      <c r="G128" s="87">
        <f>SUM(E128:F128)</f>
        <v>-10000</v>
      </c>
      <c r="I128" s="58"/>
      <c r="J128" s="226" t="s">
        <v>347</v>
      </c>
    </row>
    <row r="129" spans="3:10" s="4" customFormat="1">
      <c r="C129" s="74">
        <v>7610</v>
      </c>
      <c r="D129" s="19" t="s">
        <v>108</v>
      </c>
      <c r="E129" s="93"/>
      <c r="F129" s="93">
        <v>-20000</v>
      </c>
      <c r="G129" s="87">
        <f>SUM(E129:F129)</f>
        <v>-20000</v>
      </c>
      <c r="I129" s="58"/>
      <c r="J129" s="226" t="s">
        <v>348</v>
      </c>
    </row>
    <row r="130" spans="3:10" s="4" customFormat="1">
      <c r="C130" s="74"/>
      <c r="D130" s="19"/>
      <c r="E130" s="93"/>
      <c r="F130" s="93"/>
      <c r="G130" s="87"/>
      <c r="I130" s="58"/>
      <c r="J130" s="226" t="s">
        <v>349</v>
      </c>
    </row>
    <row r="131" spans="3:10" s="4" customFormat="1">
      <c r="E131" s="56"/>
      <c r="F131" s="56"/>
      <c r="G131" s="106">
        <f>SUM(G128:G130)</f>
        <v>-30000</v>
      </c>
      <c r="I131" s="58"/>
      <c r="J131" s="226" t="s">
        <v>350</v>
      </c>
    </row>
    <row r="132" spans="3:10" s="4" customFormat="1">
      <c r="I132" s="58"/>
      <c r="J132" s="226" t="s">
        <v>351</v>
      </c>
    </row>
    <row r="133" spans="3:10" s="4" customFormat="1">
      <c r="I133" s="58"/>
      <c r="J133" s="226"/>
    </row>
    <row r="134" spans="3:10" s="4" customFormat="1">
      <c r="I134" s="58"/>
      <c r="J134" s="226" t="s">
        <v>352</v>
      </c>
    </row>
    <row r="135" spans="3:10" s="4" customFormat="1">
      <c r="I135" s="65">
        <f>SUM(I9:I134)</f>
        <v>-103780</v>
      </c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F174"/>
  <sheetViews>
    <sheetView topLeftCell="A3" workbookViewId="0">
      <selection activeCell="F3" sqref="F3"/>
    </sheetView>
  </sheetViews>
  <sheetFormatPr defaultRowHeight="15.75"/>
  <cols>
    <col min="1" max="1" width="10.875" style="8" customWidth="1"/>
    <col min="2" max="2" width="37" style="4" customWidth="1"/>
    <col min="3" max="3" width="14" style="4" customWidth="1"/>
    <col min="4" max="4" width="14.25" style="4" customWidth="1"/>
    <col min="5" max="5" width="11.875" style="3" customWidth="1"/>
    <col min="6" max="6" width="14.75" style="4" customWidth="1"/>
    <col min="7" max="8" width="6.375" style="4" customWidth="1"/>
    <col min="9" max="9" width="7.625" style="4" customWidth="1"/>
    <col min="10" max="10" width="11.75" style="4" customWidth="1"/>
    <col min="11" max="256" width="9.25" style="4" customWidth="1"/>
    <col min="257" max="257" width="11.75" style="4" customWidth="1"/>
    <col min="258" max="258" width="35.875" style="4" customWidth="1"/>
    <col min="259" max="259" width="11.875" style="4" customWidth="1"/>
    <col min="260" max="260" width="10.125" style="4" customWidth="1"/>
    <col min="261" max="261" width="9.875" style="4" customWidth="1"/>
    <col min="262" max="263" width="6.375" style="4" customWidth="1"/>
    <col min="264" max="264" width="5.875" style="4" customWidth="1"/>
    <col min="265" max="265" width="16" style="4" customWidth="1"/>
    <col min="266" max="512" width="9.25" style="4" customWidth="1"/>
    <col min="513" max="513" width="11.75" style="4" customWidth="1"/>
    <col min="514" max="514" width="35.875" style="4" customWidth="1"/>
    <col min="515" max="515" width="11.875" style="4" customWidth="1"/>
    <col min="516" max="516" width="10.125" style="4" customWidth="1"/>
    <col min="517" max="517" width="9.875" style="4" customWidth="1"/>
    <col min="518" max="519" width="6.375" style="4" customWidth="1"/>
    <col min="520" max="520" width="5.875" style="4" customWidth="1"/>
    <col min="521" max="521" width="16" style="4" customWidth="1"/>
    <col min="522" max="768" width="9.25" style="4" customWidth="1"/>
    <col min="769" max="769" width="11.75" style="4" customWidth="1"/>
    <col min="770" max="770" width="35.875" style="4" customWidth="1"/>
    <col min="771" max="771" width="11.875" style="4" customWidth="1"/>
    <col min="772" max="772" width="10.125" style="4" customWidth="1"/>
    <col min="773" max="773" width="9.875" style="4" customWidth="1"/>
    <col min="774" max="775" width="6.375" style="4" customWidth="1"/>
    <col min="776" max="776" width="5.875" style="4" customWidth="1"/>
    <col min="777" max="777" width="16" style="4" customWidth="1"/>
    <col min="778" max="1020" width="9.25" style="4" customWidth="1"/>
    <col min="1021" max="1024" width="9.25" customWidth="1"/>
  </cols>
  <sheetData>
    <row r="1" spans="1:1020" ht="20.25">
      <c r="A1" s="1" t="s">
        <v>0</v>
      </c>
      <c r="B1" s="2"/>
      <c r="C1" s="2"/>
      <c r="D1" s="2"/>
      <c r="J1" s="2"/>
      <c r="K1" s="2"/>
      <c r="L1" s="2"/>
      <c r="M1" s="2"/>
      <c r="N1" s="2"/>
      <c r="O1" s="2"/>
    </row>
    <row r="2" spans="1:1020" ht="27" customHeight="1">
      <c r="A2" s="5" t="s">
        <v>1</v>
      </c>
      <c r="B2" s="6" t="s">
        <v>2</v>
      </c>
      <c r="C2" s="7" t="s">
        <v>3</v>
      </c>
      <c r="D2" s="6"/>
      <c r="F2" s="2"/>
      <c r="G2" s="2"/>
      <c r="H2" s="2"/>
      <c r="I2" s="2"/>
      <c r="J2" s="2" t="s">
        <v>4</v>
      </c>
      <c r="K2" s="2"/>
      <c r="L2" s="2"/>
      <c r="M2" s="2"/>
      <c r="N2" s="2"/>
      <c r="O2" s="2"/>
    </row>
    <row r="3" spans="1:1020" ht="18.95" customHeight="1">
      <c r="B3" s="9"/>
      <c r="C3" s="3" t="s">
        <v>5</v>
      </c>
      <c r="D3" s="10" t="s">
        <v>6</v>
      </c>
      <c r="E3" s="10" t="s">
        <v>5</v>
      </c>
      <c r="F3" s="11"/>
      <c r="G3" s="12"/>
      <c r="H3" s="3" t="s">
        <v>5</v>
      </c>
      <c r="I3" s="10" t="s">
        <v>6</v>
      </c>
      <c r="J3" s="10" t="s">
        <v>5</v>
      </c>
      <c r="K3" s="13"/>
      <c r="L3" s="13"/>
      <c r="M3" s="2"/>
      <c r="N3" s="2"/>
      <c r="O3" s="2"/>
    </row>
    <row r="4" spans="1:1020" ht="15" customHeight="1">
      <c r="A4" s="14" t="s">
        <v>7</v>
      </c>
      <c r="B4" s="2"/>
      <c r="C4" s="3">
        <v>2017</v>
      </c>
      <c r="D4" s="15">
        <v>2016</v>
      </c>
      <c r="E4" s="15">
        <v>2016</v>
      </c>
      <c r="F4" s="16"/>
      <c r="G4" s="17"/>
      <c r="H4" s="3">
        <v>2017</v>
      </c>
      <c r="I4" s="15">
        <v>2016</v>
      </c>
      <c r="J4" s="15">
        <v>2016</v>
      </c>
      <c r="K4" s="13"/>
      <c r="L4" s="13"/>
      <c r="M4" s="2"/>
      <c r="N4" s="2"/>
      <c r="O4" s="2"/>
    </row>
    <row r="5" spans="1:1020">
      <c r="A5" s="18">
        <v>3171</v>
      </c>
      <c r="B5" s="19" t="s">
        <v>8</v>
      </c>
      <c r="C5" s="20">
        <v>32.4</v>
      </c>
      <c r="D5" s="224">
        <v>40.700000000000003</v>
      </c>
      <c r="E5" s="22">
        <v>31.9</v>
      </c>
      <c r="F5" s="16"/>
      <c r="G5" s="17"/>
      <c r="H5" s="23">
        <f t="shared" ref="H5:J11" si="0">C5-C27</f>
        <v>-6</v>
      </c>
      <c r="I5" s="23">
        <f t="shared" si="0"/>
        <v>-3.955999999999996</v>
      </c>
      <c r="J5" s="23">
        <f t="shared" si="0"/>
        <v>-3.8999999999999986</v>
      </c>
      <c r="K5" s="15"/>
      <c r="L5" s="15"/>
      <c r="M5" s="2"/>
      <c r="N5" s="2"/>
      <c r="O5" s="2"/>
    </row>
    <row r="6" spans="1:1020">
      <c r="A6" s="24">
        <v>3172</v>
      </c>
      <c r="B6" s="25" t="s">
        <v>9</v>
      </c>
      <c r="C6" s="26">
        <v>78</v>
      </c>
      <c r="D6" s="225">
        <v>48.82</v>
      </c>
      <c r="E6" s="26">
        <v>66</v>
      </c>
      <c r="F6" s="16"/>
      <c r="G6" s="17"/>
      <c r="H6" s="23">
        <f t="shared" si="0"/>
        <v>-7.9000000000000057</v>
      </c>
      <c r="I6" s="23">
        <f t="shared" si="0"/>
        <v>-7.222999999999999</v>
      </c>
      <c r="J6" s="23">
        <f t="shared" si="0"/>
        <v>-8.4000000000000057</v>
      </c>
      <c r="K6" s="15"/>
      <c r="L6" s="15"/>
      <c r="M6" s="27"/>
      <c r="N6" s="27"/>
      <c r="O6" s="27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  <c r="JQ6" s="28"/>
      <c r="JR6" s="28"/>
      <c r="JS6" s="28"/>
      <c r="JT6" s="28"/>
      <c r="JU6" s="28"/>
      <c r="JV6" s="28"/>
      <c r="JW6" s="28"/>
      <c r="JX6" s="28"/>
      <c r="JY6" s="28"/>
      <c r="JZ6" s="28"/>
      <c r="KA6" s="28"/>
      <c r="KB6" s="28"/>
      <c r="KC6" s="28"/>
      <c r="KD6" s="28"/>
      <c r="KE6" s="28"/>
      <c r="KF6" s="28"/>
      <c r="KG6" s="28"/>
      <c r="KH6" s="28"/>
      <c r="KI6" s="28"/>
      <c r="KJ6" s="28"/>
      <c r="KK6" s="28"/>
      <c r="KL6" s="28"/>
      <c r="KM6" s="28"/>
      <c r="KN6" s="28"/>
      <c r="KO6" s="28"/>
      <c r="KP6" s="28"/>
      <c r="KQ6" s="28"/>
      <c r="KR6" s="28"/>
      <c r="KS6" s="28"/>
      <c r="KT6" s="28"/>
      <c r="KU6" s="28"/>
      <c r="KV6" s="28"/>
      <c r="KW6" s="28"/>
      <c r="KX6" s="28"/>
      <c r="KY6" s="28"/>
      <c r="KZ6" s="28"/>
      <c r="LA6" s="28"/>
      <c r="LB6" s="28"/>
      <c r="LC6" s="28"/>
      <c r="LD6" s="28"/>
      <c r="LE6" s="28"/>
      <c r="LF6" s="28"/>
      <c r="LG6" s="28"/>
      <c r="LH6" s="28"/>
      <c r="LI6" s="28"/>
      <c r="LJ6" s="28"/>
      <c r="LK6" s="28"/>
      <c r="LL6" s="28"/>
      <c r="LM6" s="28"/>
      <c r="LN6" s="28"/>
      <c r="LO6" s="28"/>
      <c r="LP6" s="28"/>
      <c r="LQ6" s="28"/>
      <c r="LR6" s="28"/>
      <c r="LS6" s="28"/>
      <c r="LT6" s="28"/>
      <c r="LU6" s="28"/>
      <c r="LV6" s="28"/>
      <c r="LW6" s="28"/>
      <c r="LX6" s="28"/>
      <c r="LY6" s="28"/>
      <c r="LZ6" s="28"/>
      <c r="MA6" s="28"/>
      <c r="MB6" s="28"/>
      <c r="MC6" s="28"/>
      <c r="MD6" s="28"/>
      <c r="ME6" s="28"/>
      <c r="MF6" s="28"/>
      <c r="MG6" s="28"/>
      <c r="MH6" s="28"/>
      <c r="MI6" s="28"/>
      <c r="MJ6" s="28"/>
      <c r="MK6" s="28"/>
      <c r="ML6" s="28"/>
      <c r="MM6" s="28"/>
      <c r="MN6" s="28"/>
      <c r="MO6" s="28"/>
      <c r="MP6" s="28"/>
      <c r="MQ6" s="28"/>
      <c r="MR6" s="28"/>
      <c r="MS6" s="28"/>
      <c r="MT6" s="28"/>
      <c r="MU6" s="28"/>
      <c r="MV6" s="28"/>
      <c r="MW6" s="28"/>
      <c r="MX6" s="28"/>
      <c r="MY6" s="28"/>
      <c r="MZ6" s="28"/>
      <c r="NA6" s="28"/>
      <c r="NB6" s="28"/>
      <c r="NC6" s="28"/>
      <c r="ND6" s="28"/>
      <c r="NE6" s="28"/>
      <c r="NF6" s="28"/>
      <c r="NG6" s="28"/>
      <c r="NH6" s="28"/>
      <c r="NI6" s="28"/>
      <c r="NJ6" s="28"/>
      <c r="NK6" s="28"/>
      <c r="NL6" s="28"/>
      <c r="NM6" s="28"/>
      <c r="NN6" s="28"/>
      <c r="NO6" s="28"/>
      <c r="NP6" s="28"/>
      <c r="NQ6" s="28"/>
      <c r="NR6" s="28"/>
      <c r="NS6" s="28"/>
      <c r="NT6" s="28"/>
      <c r="NU6" s="28"/>
      <c r="NV6" s="28"/>
      <c r="NW6" s="28"/>
      <c r="NX6" s="28"/>
      <c r="NY6" s="28"/>
      <c r="NZ6" s="28"/>
      <c r="OA6" s="28"/>
      <c r="OB6" s="28"/>
      <c r="OC6" s="28"/>
      <c r="OD6" s="28"/>
      <c r="OE6" s="28"/>
      <c r="OF6" s="28"/>
      <c r="OG6" s="28"/>
      <c r="OH6" s="28"/>
      <c r="OI6" s="28"/>
      <c r="OJ6" s="28"/>
      <c r="OK6" s="28"/>
      <c r="OL6" s="28"/>
      <c r="OM6" s="28"/>
      <c r="ON6" s="28"/>
      <c r="OO6" s="28"/>
      <c r="OP6" s="28"/>
      <c r="OQ6" s="28"/>
      <c r="OR6" s="28"/>
      <c r="OS6" s="28"/>
      <c r="OT6" s="28"/>
      <c r="OU6" s="28"/>
      <c r="OV6" s="28"/>
      <c r="OW6" s="28"/>
      <c r="OX6" s="28"/>
      <c r="OY6" s="28"/>
      <c r="OZ6" s="28"/>
      <c r="PA6" s="28"/>
      <c r="PB6" s="28"/>
      <c r="PC6" s="28"/>
      <c r="PD6" s="28"/>
      <c r="PE6" s="28"/>
      <c r="PF6" s="28"/>
      <c r="PG6" s="28"/>
      <c r="PH6" s="28"/>
      <c r="PI6" s="28"/>
      <c r="PJ6" s="28"/>
      <c r="PK6" s="28"/>
      <c r="PL6" s="28"/>
      <c r="PM6" s="28"/>
      <c r="PN6" s="28"/>
      <c r="PO6" s="28"/>
      <c r="PP6" s="28"/>
      <c r="PQ6" s="28"/>
      <c r="PR6" s="28"/>
      <c r="PS6" s="28"/>
      <c r="PT6" s="28"/>
      <c r="PU6" s="28"/>
      <c r="PV6" s="28"/>
      <c r="PW6" s="28"/>
      <c r="PX6" s="28"/>
      <c r="PY6" s="28"/>
      <c r="PZ6" s="28"/>
      <c r="QA6" s="28"/>
      <c r="QB6" s="28"/>
      <c r="QC6" s="28"/>
      <c r="QD6" s="28"/>
      <c r="QE6" s="28"/>
      <c r="QF6" s="28"/>
      <c r="QG6" s="28"/>
      <c r="QH6" s="28"/>
      <c r="QI6" s="28"/>
      <c r="QJ6" s="28"/>
      <c r="QK6" s="28"/>
      <c r="QL6" s="28"/>
      <c r="QM6" s="28"/>
      <c r="QN6" s="28"/>
      <c r="QO6" s="28"/>
      <c r="QP6" s="28"/>
      <c r="QQ6" s="28"/>
      <c r="QR6" s="28"/>
      <c r="QS6" s="28"/>
      <c r="QT6" s="28"/>
      <c r="QU6" s="28"/>
      <c r="QV6" s="28"/>
      <c r="QW6" s="28"/>
      <c r="QX6" s="28"/>
      <c r="QY6" s="28"/>
      <c r="QZ6" s="28"/>
      <c r="RA6" s="28"/>
      <c r="RB6" s="28"/>
      <c r="RC6" s="28"/>
      <c r="RD6" s="28"/>
      <c r="RE6" s="28"/>
      <c r="RF6" s="28"/>
      <c r="RG6" s="28"/>
      <c r="RH6" s="28"/>
      <c r="RI6" s="28"/>
      <c r="RJ6" s="28"/>
      <c r="RK6" s="28"/>
      <c r="RL6" s="28"/>
      <c r="RM6" s="28"/>
      <c r="RN6" s="28"/>
      <c r="RO6" s="28"/>
      <c r="RP6" s="28"/>
      <c r="RQ6" s="28"/>
      <c r="RR6" s="28"/>
      <c r="RS6" s="28"/>
      <c r="RT6" s="28"/>
      <c r="RU6" s="28"/>
      <c r="RV6" s="28"/>
      <c r="RW6" s="28"/>
      <c r="RX6" s="28"/>
      <c r="RY6" s="28"/>
      <c r="RZ6" s="28"/>
      <c r="SA6" s="28"/>
      <c r="SB6" s="28"/>
      <c r="SC6" s="28"/>
      <c r="SD6" s="28"/>
      <c r="SE6" s="28"/>
      <c r="SF6" s="28"/>
      <c r="SG6" s="28"/>
      <c r="SH6" s="28"/>
      <c r="SI6" s="28"/>
      <c r="SJ6" s="28"/>
      <c r="SK6" s="28"/>
      <c r="SL6" s="28"/>
      <c r="SM6" s="28"/>
      <c r="SN6" s="28"/>
      <c r="SO6" s="28"/>
      <c r="SP6" s="28"/>
      <c r="SQ6" s="28"/>
      <c r="SR6" s="28"/>
      <c r="SS6" s="28"/>
      <c r="ST6" s="28"/>
      <c r="SU6" s="28"/>
      <c r="SV6" s="28"/>
      <c r="SW6" s="28"/>
      <c r="SX6" s="28"/>
      <c r="SY6" s="28"/>
      <c r="SZ6" s="28"/>
      <c r="TA6" s="28"/>
      <c r="TB6" s="28"/>
      <c r="TC6" s="28"/>
      <c r="TD6" s="28"/>
      <c r="TE6" s="28"/>
      <c r="TF6" s="28"/>
      <c r="TG6" s="28"/>
      <c r="TH6" s="28"/>
      <c r="TI6" s="28"/>
      <c r="TJ6" s="28"/>
      <c r="TK6" s="28"/>
      <c r="TL6" s="28"/>
      <c r="TM6" s="28"/>
      <c r="TN6" s="28"/>
      <c r="TO6" s="28"/>
      <c r="TP6" s="28"/>
      <c r="TQ6" s="28"/>
      <c r="TR6" s="28"/>
      <c r="TS6" s="28"/>
      <c r="TT6" s="28"/>
      <c r="TU6" s="28"/>
      <c r="TV6" s="28"/>
      <c r="TW6" s="28"/>
      <c r="TX6" s="28"/>
      <c r="TY6" s="28"/>
      <c r="TZ6" s="28"/>
      <c r="UA6" s="28"/>
      <c r="UB6" s="28"/>
      <c r="UC6" s="28"/>
      <c r="UD6" s="28"/>
      <c r="UE6" s="28"/>
      <c r="UF6" s="28"/>
      <c r="UG6" s="28"/>
      <c r="UH6" s="28"/>
      <c r="UI6" s="28"/>
      <c r="UJ6" s="28"/>
      <c r="UK6" s="28"/>
      <c r="UL6" s="28"/>
      <c r="UM6" s="28"/>
      <c r="UN6" s="28"/>
      <c r="UO6" s="28"/>
      <c r="UP6" s="28"/>
      <c r="UQ6" s="28"/>
      <c r="UR6" s="28"/>
      <c r="US6" s="28"/>
      <c r="UT6" s="28"/>
      <c r="UU6" s="28"/>
      <c r="UV6" s="28"/>
      <c r="UW6" s="28"/>
      <c r="UX6" s="28"/>
      <c r="UY6" s="28"/>
      <c r="UZ6" s="28"/>
      <c r="VA6" s="28"/>
      <c r="VB6" s="28"/>
      <c r="VC6" s="28"/>
      <c r="VD6" s="28"/>
      <c r="VE6" s="28"/>
      <c r="VF6" s="28"/>
      <c r="VG6" s="28"/>
      <c r="VH6" s="28"/>
      <c r="VI6" s="28"/>
      <c r="VJ6" s="28"/>
      <c r="VK6" s="28"/>
      <c r="VL6" s="28"/>
      <c r="VM6" s="28"/>
      <c r="VN6" s="28"/>
      <c r="VO6" s="28"/>
      <c r="VP6" s="28"/>
      <c r="VQ6" s="28"/>
      <c r="VR6" s="28"/>
      <c r="VS6" s="28"/>
      <c r="VT6" s="28"/>
      <c r="VU6" s="28"/>
      <c r="VV6" s="28"/>
      <c r="VW6" s="28"/>
      <c r="VX6" s="28"/>
      <c r="VY6" s="28"/>
      <c r="VZ6" s="28"/>
      <c r="WA6" s="28"/>
      <c r="WB6" s="28"/>
      <c r="WC6" s="28"/>
      <c r="WD6" s="28"/>
      <c r="WE6" s="28"/>
      <c r="WF6" s="28"/>
      <c r="WG6" s="28"/>
      <c r="WH6" s="28"/>
      <c r="WI6" s="28"/>
      <c r="WJ6" s="28"/>
      <c r="WK6" s="28"/>
      <c r="WL6" s="28"/>
      <c r="WM6" s="28"/>
      <c r="WN6" s="28"/>
      <c r="WO6" s="28"/>
      <c r="WP6" s="28"/>
      <c r="WQ6" s="28"/>
      <c r="WR6" s="28"/>
      <c r="WS6" s="28"/>
      <c r="WT6" s="28"/>
      <c r="WU6" s="28"/>
      <c r="WV6" s="28"/>
      <c r="WW6" s="28"/>
      <c r="WX6" s="28"/>
      <c r="WY6" s="28"/>
      <c r="WZ6" s="28"/>
      <c r="XA6" s="28"/>
      <c r="XB6" s="28"/>
      <c r="XC6" s="28"/>
      <c r="XD6" s="28"/>
      <c r="XE6" s="28"/>
      <c r="XF6" s="28"/>
      <c r="XG6" s="28"/>
      <c r="XH6" s="28"/>
      <c r="XI6" s="28"/>
      <c r="XJ6" s="28"/>
      <c r="XK6" s="28"/>
      <c r="XL6" s="28"/>
      <c r="XM6" s="28"/>
      <c r="XN6" s="28"/>
      <c r="XO6" s="28"/>
      <c r="XP6" s="28"/>
      <c r="XQ6" s="28"/>
      <c r="XR6" s="28"/>
      <c r="XS6" s="28"/>
      <c r="XT6" s="28"/>
      <c r="XU6" s="28"/>
      <c r="XV6" s="28"/>
      <c r="XW6" s="28"/>
      <c r="XX6" s="28"/>
      <c r="XY6" s="28"/>
      <c r="XZ6" s="28"/>
      <c r="YA6" s="28"/>
      <c r="YB6" s="28"/>
      <c r="YC6" s="28"/>
      <c r="YD6" s="28"/>
      <c r="YE6" s="28"/>
      <c r="YF6" s="28"/>
      <c r="YG6" s="28"/>
      <c r="YH6" s="28"/>
      <c r="YI6" s="28"/>
      <c r="YJ6" s="28"/>
      <c r="YK6" s="28"/>
      <c r="YL6" s="28"/>
      <c r="YM6" s="28"/>
      <c r="YN6" s="28"/>
      <c r="YO6" s="28"/>
      <c r="YP6" s="28"/>
      <c r="YQ6" s="28"/>
      <c r="YR6" s="28"/>
      <c r="YS6" s="28"/>
      <c r="YT6" s="28"/>
      <c r="YU6" s="28"/>
      <c r="YV6" s="28"/>
      <c r="YW6" s="28"/>
      <c r="YX6" s="28"/>
      <c r="YY6" s="28"/>
      <c r="YZ6" s="28"/>
      <c r="ZA6" s="28"/>
      <c r="ZB6" s="28"/>
      <c r="ZC6" s="28"/>
      <c r="ZD6" s="28"/>
      <c r="ZE6" s="28"/>
      <c r="ZF6" s="28"/>
      <c r="ZG6" s="28"/>
      <c r="ZH6" s="28"/>
      <c r="ZI6" s="28"/>
      <c r="ZJ6" s="28"/>
      <c r="ZK6" s="28"/>
      <c r="ZL6" s="28"/>
      <c r="ZM6" s="28"/>
      <c r="ZN6" s="28"/>
      <c r="ZO6" s="28"/>
      <c r="ZP6" s="28"/>
      <c r="ZQ6" s="28"/>
      <c r="ZR6" s="28"/>
      <c r="ZS6" s="28"/>
      <c r="ZT6" s="28"/>
      <c r="ZU6" s="28"/>
      <c r="ZV6" s="28"/>
      <c r="ZW6" s="28"/>
      <c r="ZX6" s="28"/>
      <c r="ZY6" s="28"/>
      <c r="ZZ6" s="28"/>
      <c r="AAA6" s="28"/>
      <c r="AAB6" s="28"/>
      <c r="AAC6" s="28"/>
      <c r="AAD6" s="28"/>
      <c r="AAE6" s="28"/>
      <c r="AAF6" s="28"/>
      <c r="AAG6" s="28"/>
      <c r="AAH6" s="28"/>
      <c r="AAI6" s="28"/>
      <c r="AAJ6" s="28"/>
      <c r="AAK6" s="28"/>
      <c r="AAL6" s="28"/>
      <c r="AAM6" s="28"/>
      <c r="AAN6" s="28"/>
      <c r="AAO6" s="28"/>
      <c r="AAP6" s="28"/>
      <c r="AAQ6" s="28"/>
      <c r="AAR6" s="28"/>
      <c r="AAS6" s="28"/>
      <c r="AAT6" s="28"/>
      <c r="AAU6" s="28"/>
      <c r="AAV6" s="28"/>
      <c r="AAW6" s="28"/>
      <c r="AAX6" s="28"/>
      <c r="AAY6" s="28"/>
      <c r="AAZ6" s="28"/>
      <c r="ABA6" s="28"/>
      <c r="ABB6" s="28"/>
      <c r="ABC6" s="28"/>
      <c r="ABD6" s="28"/>
      <c r="ABE6" s="28"/>
      <c r="ABF6" s="28"/>
      <c r="ABG6" s="28"/>
      <c r="ABH6" s="28"/>
      <c r="ABI6" s="28"/>
      <c r="ABJ6" s="28"/>
      <c r="ABK6" s="28"/>
      <c r="ABL6" s="28"/>
      <c r="ABM6" s="28"/>
      <c r="ABN6" s="28"/>
      <c r="ABO6" s="28"/>
      <c r="ABP6" s="28"/>
      <c r="ABQ6" s="28"/>
      <c r="ABR6" s="28"/>
      <c r="ABS6" s="28"/>
      <c r="ABT6" s="28"/>
      <c r="ABU6" s="28"/>
      <c r="ABV6" s="28"/>
      <c r="ABW6" s="28"/>
      <c r="ABX6" s="28"/>
      <c r="ABY6" s="28"/>
      <c r="ABZ6" s="28"/>
      <c r="ACA6" s="28"/>
      <c r="ACB6" s="28"/>
      <c r="ACC6" s="28"/>
      <c r="ACD6" s="28"/>
      <c r="ACE6" s="28"/>
      <c r="ACF6" s="28"/>
      <c r="ACG6" s="28"/>
      <c r="ACH6" s="28"/>
      <c r="ACI6" s="28"/>
      <c r="ACJ6" s="28"/>
      <c r="ACK6" s="28"/>
      <c r="ACL6" s="28"/>
      <c r="ACM6" s="28"/>
      <c r="ACN6" s="28"/>
      <c r="ACO6" s="28"/>
      <c r="ACP6" s="28"/>
      <c r="ACQ6" s="28"/>
      <c r="ACR6" s="28"/>
      <c r="ACS6" s="28"/>
      <c r="ACT6" s="28"/>
      <c r="ACU6" s="28"/>
      <c r="ACV6" s="28"/>
      <c r="ACW6" s="28"/>
      <c r="ACX6" s="28"/>
      <c r="ACY6" s="28"/>
      <c r="ACZ6" s="28"/>
      <c r="ADA6" s="28"/>
      <c r="ADB6" s="28"/>
      <c r="ADC6" s="28"/>
      <c r="ADD6" s="28"/>
      <c r="ADE6" s="28"/>
      <c r="ADF6" s="28"/>
      <c r="ADG6" s="28"/>
      <c r="ADH6" s="28"/>
      <c r="ADI6" s="28"/>
      <c r="ADJ6" s="28"/>
      <c r="ADK6" s="28"/>
      <c r="ADL6" s="28"/>
      <c r="ADM6" s="28"/>
      <c r="ADN6" s="28"/>
      <c r="ADO6" s="28"/>
      <c r="ADP6" s="28"/>
      <c r="ADQ6" s="28"/>
      <c r="ADR6" s="28"/>
      <c r="ADS6" s="28"/>
      <c r="ADT6" s="28"/>
      <c r="ADU6" s="28"/>
      <c r="ADV6" s="28"/>
      <c r="ADW6" s="28"/>
      <c r="ADX6" s="28"/>
      <c r="ADY6" s="28"/>
      <c r="ADZ6" s="28"/>
      <c r="AEA6" s="28"/>
      <c r="AEB6" s="28"/>
      <c r="AEC6" s="28"/>
      <c r="AED6" s="28"/>
      <c r="AEE6" s="28"/>
      <c r="AEF6" s="28"/>
      <c r="AEG6" s="28"/>
      <c r="AEH6" s="28"/>
      <c r="AEI6" s="28"/>
      <c r="AEJ6" s="28"/>
      <c r="AEK6" s="28"/>
      <c r="AEL6" s="28"/>
      <c r="AEM6" s="28"/>
      <c r="AEN6" s="28"/>
      <c r="AEO6" s="28"/>
      <c r="AEP6" s="28"/>
      <c r="AEQ6" s="28"/>
      <c r="AER6" s="28"/>
      <c r="AES6" s="28"/>
      <c r="AET6" s="28"/>
      <c r="AEU6" s="28"/>
      <c r="AEV6" s="28"/>
      <c r="AEW6" s="28"/>
      <c r="AEX6" s="28"/>
      <c r="AEY6" s="28"/>
      <c r="AEZ6" s="28"/>
      <c r="AFA6" s="28"/>
      <c r="AFB6" s="28"/>
      <c r="AFC6" s="28"/>
      <c r="AFD6" s="28"/>
      <c r="AFE6" s="28"/>
      <c r="AFF6" s="28"/>
      <c r="AFG6" s="28"/>
      <c r="AFH6" s="28"/>
      <c r="AFI6" s="28"/>
      <c r="AFJ6" s="28"/>
      <c r="AFK6" s="28"/>
      <c r="AFL6" s="28"/>
      <c r="AFM6" s="28"/>
      <c r="AFN6" s="28"/>
      <c r="AFO6" s="28"/>
      <c r="AFP6" s="28"/>
      <c r="AFQ6" s="28"/>
      <c r="AFR6" s="28"/>
      <c r="AFS6" s="28"/>
      <c r="AFT6" s="28"/>
      <c r="AFU6" s="28"/>
      <c r="AFV6" s="28"/>
      <c r="AFW6" s="28"/>
      <c r="AFX6" s="28"/>
      <c r="AFY6" s="28"/>
      <c r="AFZ6" s="28"/>
      <c r="AGA6" s="28"/>
      <c r="AGB6" s="28"/>
      <c r="AGC6" s="28"/>
      <c r="AGD6" s="28"/>
      <c r="AGE6" s="28"/>
      <c r="AGF6" s="28"/>
      <c r="AGG6" s="28"/>
      <c r="AGH6" s="28"/>
      <c r="AGI6" s="28"/>
      <c r="AGJ6" s="28"/>
      <c r="AGK6" s="28"/>
      <c r="AGL6" s="28"/>
      <c r="AGM6" s="28"/>
      <c r="AGN6" s="28"/>
      <c r="AGO6" s="28"/>
      <c r="AGP6" s="28"/>
      <c r="AGQ6" s="28"/>
      <c r="AGR6" s="28"/>
      <c r="AGS6" s="28"/>
      <c r="AGT6" s="28"/>
      <c r="AGU6" s="28"/>
      <c r="AGV6" s="28"/>
      <c r="AGW6" s="28"/>
      <c r="AGX6" s="28"/>
      <c r="AGY6" s="28"/>
      <c r="AGZ6" s="28"/>
      <c r="AHA6" s="28"/>
      <c r="AHB6" s="28"/>
      <c r="AHC6" s="28"/>
      <c r="AHD6" s="28"/>
      <c r="AHE6" s="28"/>
      <c r="AHF6" s="28"/>
      <c r="AHG6" s="28"/>
      <c r="AHH6" s="28"/>
      <c r="AHI6" s="28"/>
      <c r="AHJ6" s="28"/>
      <c r="AHK6" s="28"/>
      <c r="AHL6" s="28"/>
      <c r="AHM6" s="28"/>
      <c r="AHN6" s="28"/>
      <c r="AHO6" s="28"/>
      <c r="AHP6" s="28"/>
      <c r="AHQ6" s="28"/>
      <c r="AHR6" s="28"/>
      <c r="AHS6" s="28"/>
      <c r="AHT6" s="28"/>
      <c r="AHU6" s="28"/>
      <c r="AHV6" s="28"/>
      <c r="AHW6" s="28"/>
      <c r="AHX6" s="28"/>
      <c r="AHY6" s="28"/>
      <c r="AHZ6" s="28"/>
      <c r="AIA6" s="28"/>
      <c r="AIB6" s="28"/>
      <c r="AIC6" s="28"/>
      <c r="AID6" s="28"/>
      <c r="AIE6" s="28"/>
      <c r="AIF6" s="28"/>
      <c r="AIG6" s="28"/>
      <c r="AIH6" s="28"/>
      <c r="AII6" s="28"/>
      <c r="AIJ6" s="28"/>
      <c r="AIK6" s="28"/>
      <c r="AIL6" s="28"/>
      <c r="AIM6" s="28"/>
      <c r="AIN6" s="28"/>
      <c r="AIO6" s="28"/>
      <c r="AIP6" s="28"/>
      <c r="AIQ6" s="28"/>
      <c r="AIR6" s="28"/>
      <c r="AIS6" s="28"/>
      <c r="AIT6" s="28"/>
      <c r="AIU6" s="28"/>
      <c r="AIV6" s="28"/>
      <c r="AIW6" s="28"/>
      <c r="AIX6" s="28"/>
      <c r="AIY6" s="28"/>
      <c r="AIZ6" s="28"/>
      <c r="AJA6" s="28"/>
      <c r="AJB6" s="28"/>
      <c r="AJC6" s="28"/>
      <c r="AJD6" s="28"/>
      <c r="AJE6" s="28"/>
      <c r="AJF6" s="28"/>
      <c r="AJG6" s="28"/>
      <c r="AJH6" s="28"/>
      <c r="AJI6" s="28"/>
      <c r="AJJ6" s="28"/>
      <c r="AJK6" s="28"/>
      <c r="AJL6" s="28"/>
      <c r="AJM6" s="28"/>
      <c r="AJN6" s="28"/>
      <c r="AJO6" s="28"/>
      <c r="AJP6" s="28"/>
      <c r="AJQ6" s="28"/>
      <c r="AJR6" s="28"/>
      <c r="AJS6" s="28"/>
      <c r="AJT6" s="28"/>
      <c r="AJU6" s="28"/>
      <c r="AJV6" s="28"/>
      <c r="AJW6" s="28"/>
      <c r="AJX6" s="28"/>
      <c r="AJY6" s="28"/>
      <c r="AJZ6" s="28"/>
      <c r="AKA6" s="28"/>
      <c r="AKB6" s="28"/>
      <c r="AKC6" s="28"/>
      <c r="AKD6" s="28"/>
      <c r="AKE6" s="28"/>
      <c r="AKF6" s="28"/>
      <c r="AKG6" s="28"/>
      <c r="AKH6" s="28"/>
      <c r="AKI6" s="28"/>
      <c r="AKJ6" s="28"/>
      <c r="AKK6" s="28"/>
      <c r="AKL6" s="28"/>
      <c r="AKM6" s="28"/>
      <c r="AKN6" s="28"/>
      <c r="AKO6" s="28"/>
      <c r="AKP6" s="28"/>
      <c r="AKQ6" s="28"/>
      <c r="AKR6" s="28"/>
      <c r="AKS6" s="28"/>
      <c r="AKT6" s="28"/>
      <c r="AKU6" s="28"/>
      <c r="AKV6" s="28"/>
      <c r="AKW6" s="28"/>
      <c r="AKX6" s="28"/>
      <c r="AKY6" s="28"/>
      <c r="AKZ6" s="28"/>
      <c r="ALA6" s="28"/>
      <c r="ALB6" s="28"/>
      <c r="ALC6" s="28"/>
      <c r="ALD6" s="28"/>
      <c r="ALE6" s="28"/>
      <c r="ALF6" s="28"/>
      <c r="ALG6" s="28"/>
      <c r="ALH6" s="28"/>
      <c r="ALI6" s="28"/>
      <c r="ALJ6" s="28"/>
      <c r="ALK6" s="28"/>
      <c r="ALL6" s="28"/>
      <c r="ALM6" s="28"/>
      <c r="ALN6" s="28"/>
      <c r="ALO6" s="28"/>
      <c r="ALP6" s="28"/>
      <c r="ALQ6" s="28"/>
      <c r="ALR6" s="28"/>
      <c r="ALS6" s="28"/>
      <c r="ALT6" s="28"/>
      <c r="ALU6" s="28"/>
      <c r="ALV6" s="28"/>
      <c r="ALW6" s="28"/>
      <c r="ALX6" s="28"/>
      <c r="ALY6" s="28"/>
      <c r="ALZ6" s="28"/>
      <c r="AMA6" s="28"/>
      <c r="AMB6" s="28"/>
      <c r="AMC6" s="28"/>
      <c r="AMD6" s="28"/>
      <c r="AME6" s="28"/>
      <c r="AMF6" s="28"/>
    </row>
    <row r="7" spans="1:1020">
      <c r="A7" s="29">
        <v>3173</v>
      </c>
      <c r="B7" s="19" t="s">
        <v>10</v>
      </c>
      <c r="C7" s="26">
        <v>34</v>
      </c>
      <c r="D7" s="19">
        <v>40.6</v>
      </c>
      <c r="E7" s="26">
        <v>36.799999999999997</v>
      </c>
      <c r="F7" s="17"/>
      <c r="G7" s="17"/>
      <c r="H7" s="23">
        <f t="shared" si="0"/>
        <v>-5</v>
      </c>
      <c r="I7" s="23">
        <f t="shared" si="0"/>
        <v>-4.5859999999999985</v>
      </c>
      <c r="J7" s="23">
        <f t="shared" si="0"/>
        <v>-6</v>
      </c>
      <c r="K7" s="30"/>
      <c r="L7" s="15"/>
      <c r="M7" s="27"/>
      <c r="N7" s="27"/>
      <c r="O7" s="27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  <c r="IW7" s="28"/>
      <c r="IX7" s="28"/>
      <c r="IY7" s="28"/>
      <c r="IZ7" s="28"/>
      <c r="JA7" s="28"/>
      <c r="JB7" s="28"/>
      <c r="JC7" s="28"/>
      <c r="JD7" s="28"/>
      <c r="JE7" s="28"/>
      <c r="JF7" s="28"/>
      <c r="JG7" s="28"/>
      <c r="JH7" s="28"/>
      <c r="JI7" s="28"/>
      <c r="JJ7" s="28"/>
      <c r="JK7" s="28"/>
      <c r="JL7" s="28"/>
      <c r="JM7" s="28"/>
      <c r="JN7" s="28"/>
      <c r="JO7" s="28"/>
      <c r="JP7" s="28"/>
      <c r="JQ7" s="28"/>
      <c r="JR7" s="28"/>
      <c r="JS7" s="28"/>
      <c r="JT7" s="28"/>
      <c r="JU7" s="28"/>
      <c r="JV7" s="28"/>
      <c r="JW7" s="28"/>
      <c r="JX7" s="28"/>
      <c r="JY7" s="28"/>
      <c r="JZ7" s="28"/>
      <c r="KA7" s="28"/>
      <c r="KB7" s="28"/>
      <c r="KC7" s="28"/>
      <c r="KD7" s="28"/>
      <c r="KE7" s="28"/>
      <c r="KF7" s="28"/>
      <c r="KG7" s="28"/>
      <c r="KH7" s="28"/>
      <c r="KI7" s="28"/>
      <c r="KJ7" s="28"/>
      <c r="KK7" s="28"/>
      <c r="KL7" s="28"/>
      <c r="KM7" s="28"/>
      <c r="KN7" s="28"/>
      <c r="KO7" s="28"/>
      <c r="KP7" s="28"/>
      <c r="KQ7" s="28"/>
      <c r="KR7" s="28"/>
      <c r="KS7" s="28"/>
      <c r="KT7" s="28"/>
      <c r="KU7" s="28"/>
      <c r="KV7" s="28"/>
      <c r="KW7" s="28"/>
      <c r="KX7" s="28"/>
      <c r="KY7" s="28"/>
      <c r="KZ7" s="28"/>
      <c r="LA7" s="28"/>
      <c r="LB7" s="28"/>
      <c r="LC7" s="28"/>
      <c r="LD7" s="28"/>
      <c r="LE7" s="28"/>
      <c r="LF7" s="28"/>
      <c r="LG7" s="28"/>
      <c r="LH7" s="28"/>
      <c r="LI7" s="28"/>
      <c r="LJ7" s="28"/>
      <c r="LK7" s="28"/>
      <c r="LL7" s="28"/>
      <c r="LM7" s="28"/>
      <c r="LN7" s="28"/>
      <c r="LO7" s="28"/>
      <c r="LP7" s="28"/>
      <c r="LQ7" s="28"/>
      <c r="LR7" s="28"/>
      <c r="LS7" s="28"/>
      <c r="LT7" s="28"/>
      <c r="LU7" s="28"/>
      <c r="LV7" s="28"/>
      <c r="LW7" s="28"/>
      <c r="LX7" s="28"/>
      <c r="LY7" s="28"/>
      <c r="LZ7" s="28"/>
      <c r="MA7" s="28"/>
      <c r="MB7" s="28"/>
      <c r="MC7" s="28"/>
      <c r="MD7" s="28"/>
      <c r="ME7" s="28"/>
      <c r="MF7" s="28"/>
      <c r="MG7" s="28"/>
      <c r="MH7" s="28"/>
      <c r="MI7" s="28"/>
      <c r="MJ7" s="28"/>
      <c r="MK7" s="28"/>
      <c r="ML7" s="28"/>
      <c r="MM7" s="28"/>
      <c r="MN7" s="28"/>
      <c r="MO7" s="28"/>
      <c r="MP7" s="28"/>
      <c r="MQ7" s="28"/>
      <c r="MR7" s="28"/>
      <c r="MS7" s="28"/>
      <c r="MT7" s="28"/>
      <c r="MU7" s="28"/>
      <c r="MV7" s="28"/>
      <c r="MW7" s="28"/>
      <c r="MX7" s="28"/>
      <c r="MY7" s="28"/>
      <c r="MZ7" s="28"/>
      <c r="NA7" s="28"/>
      <c r="NB7" s="28"/>
      <c r="NC7" s="28"/>
      <c r="ND7" s="28"/>
      <c r="NE7" s="28"/>
      <c r="NF7" s="28"/>
      <c r="NG7" s="28"/>
      <c r="NH7" s="28"/>
      <c r="NI7" s="28"/>
      <c r="NJ7" s="28"/>
      <c r="NK7" s="28"/>
      <c r="NL7" s="28"/>
      <c r="NM7" s="28"/>
      <c r="NN7" s="28"/>
      <c r="NO7" s="28"/>
      <c r="NP7" s="28"/>
      <c r="NQ7" s="28"/>
      <c r="NR7" s="28"/>
      <c r="NS7" s="28"/>
      <c r="NT7" s="28"/>
      <c r="NU7" s="28"/>
      <c r="NV7" s="28"/>
      <c r="NW7" s="28"/>
      <c r="NX7" s="28"/>
      <c r="NY7" s="28"/>
      <c r="NZ7" s="28"/>
      <c r="OA7" s="28"/>
      <c r="OB7" s="28"/>
      <c r="OC7" s="28"/>
      <c r="OD7" s="28"/>
      <c r="OE7" s="28"/>
      <c r="OF7" s="28"/>
      <c r="OG7" s="28"/>
      <c r="OH7" s="28"/>
      <c r="OI7" s="28"/>
      <c r="OJ7" s="28"/>
      <c r="OK7" s="28"/>
      <c r="OL7" s="28"/>
      <c r="OM7" s="28"/>
      <c r="ON7" s="28"/>
      <c r="OO7" s="28"/>
      <c r="OP7" s="28"/>
      <c r="OQ7" s="28"/>
      <c r="OR7" s="28"/>
      <c r="OS7" s="28"/>
      <c r="OT7" s="28"/>
      <c r="OU7" s="28"/>
      <c r="OV7" s="28"/>
      <c r="OW7" s="28"/>
      <c r="OX7" s="28"/>
      <c r="OY7" s="28"/>
      <c r="OZ7" s="28"/>
      <c r="PA7" s="28"/>
      <c r="PB7" s="28"/>
      <c r="PC7" s="28"/>
      <c r="PD7" s="28"/>
      <c r="PE7" s="28"/>
      <c r="PF7" s="28"/>
      <c r="PG7" s="28"/>
      <c r="PH7" s="28"/>
      <c r="PI7" s="28"/>
      <c r="PJ7" s="28"/>
      <c r="PK7" s="28"/>
      <c r="PL7" s="28"/>
      <c r="PM7" s="28"/>
      <c r="PN7" s="28"/>
      <c r="PO7" s="28"/>
      <c r="PP7" s="28"/>
      <c r="PQ7" s="28"/>
      <c r="PR7" s="28"/>
      <c r="PS7" s="28"/>
      <c r="PT7" s="28"/>
      <c r="PU7" s="28"/>
      <c r="PV7" s="28"/>
      <c r="PW7" s="28"/>
      <c r="PX7" s="28"/>
      <c r="PY7" s="28"/>
      <c r="PZ7" s="28"/>
      <c r="QA7" s="28"/>
      <c r="QB7" s="28"/>
      <c r="QC7" s="28"/>
      <c r="QD7" s="28"/>
      <c r="QE7" s="28"/>
      <c r="QF7" s="28"/>
      <c r="QG7" s="28"/>
      <c r="QH7" s="28"/>
      <c r="QI7" s="28"/>
      <c r="QJ7" s="28"/>
      <c r="QK7" s="28"/>
      <c r="QL7" s="28"/>
      <c r="QM7" s="28"/>
      <c r="QN7" s="28"/>
      <c r="QO7" s="28"/>
      <c r="QP7" s="28"/>
      <c r="QQ7" s="28"/>
      <c r="QR7" s="28"/>
      <c r="QS7" s="28"/>
      <c r="QT7" s="28"/>
      <c r="QU7" s="28"/>
      <c r="QV7" s="28"/>
      <c r="QW7" s="28"/>
      <c r="QX7" s="28"/>
      <c r="QY7" s="28"/>
      <c r="QZ7" s="28"/>
      <c r="RA7" s="28"/>
      <c r="RB7" s="28"/>
      <c r="RC7" s="28"/>
      <c r="RD7" s="28"/>
      <c r="RE7" s="28"/>
      <c r="RF7" s="28"/>
      <c r="RG7" s="28"/>
      <c r="RH7" s="28"/>
      <c r="RI7" s="28"/>
      <c r="RJ7" s="28"/>
      <c r="RK7" s="28"/>
      <c r="RL7" s="28"/>
      <c r="RM7" s="28"/>
      <c r="RN7" s="28"/>
      <c r="RO7" s="28"/>
      <c r="RP7" s="28"/>
      <c r="RQ7" s="28"/>
      <c r="RR7" s="28"/>
      <c r="RS7" s="28"/>
      <c r="RT7" s="28"/>
      <c r="RU7" s="28"/>
      <c r="RV7" s="28"/>
      <c r="RW7" s="28"/>
      <c r="RX7" s="28"/>
      <c r="RY7" s="28"/>
      <c r="RZ7" s="28"/>
      <c r="SA7" s="28"/>
      <c r="SB7" s="28"/>
      <c r="SC7" s="28"/>
      <c r="SD7" s="28"/>
      <c r="SE7" s="28"/>
      <c r="SF7" s="28"/>
      <c r="SG7" s="28"/>
      <c r="SH7" s="28"/>
      <c r="SI7" s="28"/>
      <c r="SJ7" s="28"/>
      <c r="SK7" s="28"/>
      <c r="SL7" s="28"/>
      <c r="SM7" s="28"/>
      <c r="SN7" s="28"/>
      <c r="SO7" s="28"/>
      <c r="SP7" s="28"/>
      <c r="SQ7" s="28"/>
      <c r="SR7" s="28"/>
      <c r="SS7" s="28"/>
      <c r="ST7" s="28"/>
      <c r="SU7" s="28"/>
      <c r="SV7" s="28"/>
      <c r="SW7" s="28"/>
      <c r="SX7" s="28"/>
      <c r="SY7" s="28"/>
      <c r="SZ7" s="28"/>
      <c r="TA7" s="28"/>
      <c r="TB7" s="28"/>
      <c r="TC7" s="28"/>
      <c r="TD7" s="28"/>
      <c r="TE7" s="28"/>
      <c r="TF7" s="28"/>
      <c r="TG7" s="28"/>
      <c r="TH7" s="28"/>
      <c r="TI7" s="28"/>
      <c r="TJ7" s="28"/>
      <c r="TK7" s="28"/>
      <c r="TL7" s="28"/>
      <c r="TM7" s="28"/>
      <c r="TN7" s="28"/>
      <c r="TO7" s="28"/>
      <c r="TP7" s="28"/>
      <c r="TQ7" s="28"/>
      <c r="TR7" s="28"/>
      <c r="TS7" s="28"/>
      <c r="TT7" s="28"/>
      <c r="TU7" s="28"/>
      <c r="TV7" s="28"/>
      <c r="TW7" s="28"/>
      <c r="TX7" s="28"/>
      <c r="TY7" s="28"/>
      <c r="TZ7" s="28"/>
      <c r="UA7" s="28"/>
      <c r="UB7" s="28"/>
      <c r="UC7" s="28"/>
      <c r="UD7" s="28"/>
      <c r="UE7" s="28"/>
      <c r="UF7" s="28"/>
      <c r="UG7" s="28"/>
      <c r="UH7" s="28"/>
      <c r="UI7" s="28"/>
      <c r="UJ7" s="28"/>
      <c r="UK7" s="28"/>
      <c r="UL7" s="28"/>
      <c r="UM7" s="28"/>
      <c r="UN7" s="28"/>
      <c r="UO7" s="28"/>
      <c r="UP7" s="28"/>
      <c r="UQ7" s="28"/>
      <c r="UR7" s="28"/>
      <c r="US7" s="28"/>
      <c r="UT7" s="28"/>
      <c r="UU7" s="28"/>
      <c r="UV7" s="28"/>
      <c r="UW7" s="28"/>
      <c r="UX7" s="28"/>
      <c r="UY7" s="28"/>
      <c r="UZ7" s="28"/>
      <c r="VA7" s="28"/>
      <c r="VB7" s="28"/>
      <c r="VC7" s="28"/>
      <c r="VD7" s="28"/>
      <c r="VE7" s="28"/>
      <c r="VF7" s="28"/>
      <c r="VG7" s="28"/>
      <c r="VH7" s="28"/>
      <c r="VI7" s="28"/>
      <c r="VJ7" s="28"/>
      <c r="VK7" s="28"/>
      <c r="VL7" s="28"/>
      <c r="VM7" s="28"/>
      <c r="VN7" s="28"/>
      <c r="VO7" s="28"/>
      <c r="VP7" s="28"/>
      <c r="VQ7" s="28"/>
      <c r="VR7" s="28"/>
      <c r="VS7" s="28"/>
      <c r="VT7" s="28"/>
      <c r="VU7" s="28"/>
      <c r="VV7" s="28"/>
      <c r="VW7" s="28"/>
      <c r="VX7" s="28"/>
      <c r="VY7" s="28"/>
      <c r="VZ7" s="28"/>
      <c r="WA7" s="28"/>
      <c r="WB7" s="28"/>
      <c r="WC7" s="28"/>
      <c r="WD7" s="28"/>
      <c r="WE7" s="28"/>
      <c r="WF7" s="28"/>
      <c r="WG7" s="28"/>
      <c r="WH7" s="28"/>
      <c r="WI7" s="28"/>
      <c r="WJ7" s="28"/>
      <c r="WK7" s="28"/>
      <c r="WL7" s="28"/>
      <c r="WM7" s="28"/>
      <c r="WN7" s="28"/>
      <c r="WO7" s="28"/>
      <c r="WP7" s="28"/>
      <c r="WQ7" s="28"/>
      <c r="WR7" s="28"/>
      <c r="WS7" s="28"/>
      <c r="WT7" s="28"/>
      <c r="WU7" s="28"/>
      <c r="WV7" s="28"/>
      <c r="WW7" s="28"/>
      <c r="WX7" s="28"/>
      <c r="WY7" s="28"/>
      <c r="WZ7" s="28"/>
      <c r="XA7" s="28"/>
      <c r="XB7" s="28"/>
      <c r="XC7" s="28"/>
      <c r="XD7" s="28"/>
      <c r="XE7" s="28"/>
      <c r="XF7" s="28"/>
      <c r="XG7" s="28"/>
      <c r="XH7" s="28"/>
      <c r="XI7" s="28"/>
      <c r="XJ7" s="28"/>
      <c r="XK7" s="28"/>
      <c r="XL7" s="28"/>
      <c r="XM7" s="28"/>
      <c r="XN7" s="28"/>
      <c r="XO7" s="28"/>
      <c r="XP7" s="28"/>
      <c r="XQ7" s="28"/>
      <c r="XR7" s="28"/>
      <c r="XS7" s="28"/>
      <c r="XT7" s="28"/>
      <c r="XU7" s="28"/>
      <c r="XV7" s="28"/>
      <c r="XW7" s="28"/>
      <c r="XX7" s="28"/>
      <c r="XY7" s="28"/>
      <c r="XZ7" s="28"/>
      <c r="YA7" s="28"/>
      <c r="YB7" s="28"/>
      <c r="YC7" s="28"/>
      <c r="YD7" s="28"/>
      <c r="YE7" s="28"/>
      <c r="YF7" s="28"/>
      <c r="YG7" s="28"/>
      <c r="YH7" s="28"/>
      <c r="YI7" s="28"/>
      <c r="YJ7" s="28"/>
      <c r="YK7" s="28"/>
      <c r="YL7" s="28"/>
      <c r="YM7" s="28"/>
      <c r="YN7" s="28"/>
      <c r="YO7" s="28"/>
      <c r="YP7" s="28"/>
      <c r="YQ7" s="28"/>
      <c r="YR7" s="28"/>
      <c r="YS7" s="28"/>
      <c r="YT7" s="28"/>
      <c r="YU7" s="28"/>
      <c r="YV7" s="28"/>
      <c r="YW7" s="28"/>
      <c r="YX7" s="28"/>
      <c r="YY7" s="28"/>
      <c r="YZ7" s="28"/>
      <c r="ZA7" s="28"/>
      <c r="ZB7" s="28"/>
      <c r="ZC7" s="28"/>
      <c r="ZD7" s="28"/>
      <c r="ZE7" s="28"/>
      <c r="ZF7" s="28"/>
      <c r="ZG7" s="28"/>
      <c r="ZH7" s="28"/>
      <c r="ZI7" s="28"/>
      <c r="ZJ7" s="28"/>
      <c r="ZK7" s="28"/>
      <c r="ZL7" s="28"/>
      <c r="ZM7" s="28"/>
      <c r="ZN7" s="28"/>
      <c r="ZO7" s="28"/>
      <c r="ZP7" s="28"/>
      <c r="ZQ7" s="28"/>
      <c r="ZR7" s="28"/>
      <c r="ZS7" s="28"/>
      <c r="ZT7" s="28"/>
      <c r="ZU7" s="28"/>
      <c r="ZV7" s="28"/>
      <c r="ZW7" s="28"/>
      <c r="ZX7" s="28"/>
      <c r="ZY7" s="28"/>
      <c r="ZZ7" s="28"/>
      <c r="AAA7" s="28"/>
      <c r="AAB7" s="28"/>
      <c r="AAC7" s="28"/>
      <c r="AAD7" s="28"/>
      <c r="AAE7" s="28"/>
      <c r="AAF7" s="28"/>
      <c r="AAG7" s="28"/>
      <c r="AAH7" s="28"/>
      <c r="AAI7" s="28"/>
      <c r="AAJ7" s="28"/>
      <c r="AAK7" s="28"/>
      <c r="AAL7" s="28"/>
      <c r="AAM7" s="28"/>
      <c r="AAN7" s="28"/>
      <c r="AAO7" s="28"/>
      <c r="AAP7" s="28"/>
      <c r="AAQ7" s="28"/>
      <c r="AAR7" s="28"/>
      <c r="AAS7" s="28"/>
      <c r="AAT7" s="28"/>
      <c r="AAU7" s="28"/>
      <c r="AAV7" s="28"/>
      <c r="AAW7" s="28"/>
      <c r="AAX7" s="28"/>
      <c r="AAY7" s="28"/>
      <c r="AAZ7" s="28"/>
      <c r="ABA7" s="28"/>
      <c r="ABB7" s="28"/>
      <c r="ABC7" s="28"/>
      <c r="ABD7" s="28"/>
      <c r="ABE7" s="28"/>
      <c r="ABF7" s="28"/>
      <c r="ABG7" s="28"/>
      <c r="ABH7" s="28"/>
      <c r="ABI7" s="28"/>
      <c r="ABJ7" s="28"/>
      <c r="ABK7" s="28"/>
      <c r="ABL7" s="28"/>
      <c r="ABM7" s="28"/>
      <c r="ABN7" s="28"/>
      <c r="ABO7" s="28"/>
      <c r="ABP7" s="28"/>
      <c r="ABQ7" s="28"/>
      <c r="ABR7" s="28"/>
      <c r="ABS7" s="28"/>
      <c r="ABT7" s="28"/>
      <c r="ABU7" s="28"/>
      <c r="ABV7" s="28"/>
      <c r="ABW7" s="28"/>
      <c r="ABX7" s="28"/>
      <c r="ABY7" s="28"/>
      <c r="ABZ7" s="28"/>
      <c r="ACA7" s="28"/>
      <c r="ACB7" s="28"/>
      <c r="ACC7" s="28"/>
      <c r="ACD7" s="28"/>
      <c r="ACE7" s="28"/>
      <c r="ACF7" s="28"/>
      <c r="ACG7" s="28"/>
      <c r="ACH7" s="28"/>
      <c r="ACI7" s="28"/>
      <c r="ACJ7" s="28"/>
      <c r="ACK7" s="28"/>
      <c r="ACL7" s="28"/>
      <c r="ACM7" s="28"/>
      <c r="ACN7" s="28"/>
      <c r="ACO7" s="28"/>
      <c r="ACP7" s="28"/>
      <c r="ACQ7" s="28"/>
      <c r="ACR7" s="28"/>
      <c r="ACS7" s="28"/>
      <c r="ACT7" s="28"/>
      <c r="ACU7" s="28"/>
      <c r="ACV7" s="28"/>
      <c r="ACW7" s="28"/>
      <c r="ACX7" s="28"/>
      <c r="ACY7" s="28"/>
      <c r="ACZ7" s="28"/>
      <c r="ADA7" s="28"/>
      <c r="ADB7" s="28"/>
      <c r="ADC7" s="28"/>
      <c r="ADD7" s="28"/>
      <c r="ADE7" s="28"/>
      <c r="ADF7" s="28"/>
      <c r="ADG7" s="28"/>
      <c r="ADH7" s="28"/>
      <c r="ADI7" s="28"/>
      <c r="ADJ7" s="28"/>
      <c r="ADK7" s="28"/>
      <c r="ADL7" s="28"/>
      <c r="ADM7" s="28"/>
      <c r="ADN7" s="28"/>
      <c r="ADO7" s="28"/>
      <c r="ADP7" s="28"/>
      <c r="ADQ7" s="28"/>
      <c r="ADR7" s="28"/>
      <c r="ADS7" s="28"/>
      <c r="ADT7" s="28"/>
      <c r="ADU7" s="28"/>
      <c r="ADV7" s="28"/>
      <c r="ADW7" s="28"/>
      <c r="ADX7" s="28"/>
      <c r="ADY7" s="28"/>
      <c r="ADZ7" s="28"/>
      <c r="AEA7" s="28"/>
      <c r="AEB7" s="28"/>
      <c r="AEC7" s="28"/>
      <c r="AED7" s="28"/>
      <c r="AEE7" s="28"/>
      <c r="AEF7" s="28"/>
      <c r="AEG7" s="28"/>
      <c r="AEH7" s="28"/>
      <c r="AEI7" s="28"/>
      <c r="AEJ7" s="28"/>
      <c r="AEK7" s="28"/>
      <c r="AEL7" s="28"/>
      <c r="AEM7" s="28"/>
      <c r="AEN7" s="28"/>
      <c r="AEO7" s="28"/>
      <c r="AEP7" s="28"/>
      <c r="AEQ7" s="28"/>
      <c r="AER7" s="28"/>
      <c r="AES7" s="28"/>
      <c r="AET7" s="28"/>
      <c r="AEU7" s="28"/>
      <c r="AEV7" s="28"/>
      <c r="AEW7" s="28"/>
      <c r="AEX7" s="28"/>
      <c r="AEY7" s="28"/>
      <c r="AEZ7" s="28"/>
      <c r="AFA7" s="28"/>
      <c r="AFB7" s="28"/>
      <c r="AFC7" s="28"/>
      <c r="AFD7" s="28"/>
      <c r="AFE7" s="28"/>
      <c r="AFF7" s="28"/>
      <c r="AFG7" s="28"/>
      <c r="AFH7" s="28"/>
      <c r="AFI7" s="28"/>
      <c r="AFJ7" s="28"/>
      <c r="AFK7" s="28"/>
      <c r="AFL7" s="28"/>
      <c r="AFM7" s="28"/>
      <c r="AFN7" s="28"/>
      <c r="AFO7" s="28"/>
      <c r="AFP7" s="28"/>
      <c r="AFQ7" s="28"/>
      <c r="AFR7" s="28"/>
      <c r="AFS7" s="28"/>
      <c r="AFT7" s="28"/>
      <c r="AFU7" s="28"/>
      <c r="AFV7" s="28"/>
      <c r="AFW7" s="28"/>
      <c r="AFX7" s="28"/>
      <c r="AFY7" s="28"/>
      <c r="AFZ7" s="28"/>
      <c r="AGA7" s="28"/>
      <c r="AGB7" s="28"/>
      <c r="AGC7" s="28"/>
      <c r="AGD7" s="28"/>
      <c r="AGE7" s="28"/>
      <c r="AGF7" s="28"/>
      <c r="AGG7" s="28"/>
      <c r="AGH7" s="28"/>
      <c r="AGI7" s="28"/>
      <c r="AGJ7" s="28"/>
      <c r="AGK7" s="28"/>
      <c r="AGL7" s="28"/>
      <c r="AGM7" s="28"/>
      <c r="AGN7" s="28"/>
      <c r="AGO7" s="28"/>
      <c r="AGP7" s="28"/>
      <c r="AGQ7" s="28"/>
      <c r="AGR7" s="28"/>
      <c r="AGS7" s="28"/>
      <c r="AGT7" s="28"/>
      <c r="AGU7" s="28"/>
      <c r="AGV7" s="28"/>
      <c r="AGW7" s="28"/>
      <c r="AGX7" s="28"/>
      <c r="AGY7" s="28"/>
      <c r="AGZ7" s="28"/>
      <c r="AHA7" s="28"/>
      <c r="AHB7" s="28"/>
      <c r="AHC7" s="28"/>
      <c r="AHD7" s="28"/>
      <c r="AHE7" s="28"/>
      <c r="AHF7" s="28"/>
      <c r="AHG7" s="28"/>
      <c r="AHH7" s="28"/>
      <c r="AHI7" s="28"/>
      <c r="AHJ7" s="28"/>
      <c r="AHK7" s="28"/>
      <c r="AHL7" s="28"/>
      <c r="AHM7" s="28"/>
      <c r="AHN7" s="28"/>
      <c r="AHO7" s="28"/>
      <c r="AHP7" s="28"/>
      <c r="AHQ7" s="28"/>
      <c r="AHR7" s="28"/>
      <c r="AHS7" s="28"/>
      <c r="AHT7" s="28"/>
      <c r="AHU7" s="28"/>
      <c r="AHV7" s="28"/>
      <c r="AHW7" s="28"/>
      <c r="AHX7" s="28"/>
      <c r="AHY7" s="28"/>
      <c r="AHZ7" s="28"/>
      <c r="AIA7" s="28"/>
      <c r="AIB7" s="28"/>
      <c r="AIC7" s="28"/>
      <c r="AID7" s="28"/>
      <c r="AIE7" s="28"/>
      <c r="AIF7" s="28"/>
      <c r="AIG7" s="28"/>
      <c r="AIH7" s="28"/>
      <c r="AII7" s="28"/>
      <c r="AIJ7" s="28"/>
      <c r="AIK7" s="28"/>
      <c r="AIL7" s="28"/>
      <c r="AIM7" s="28"/>
      <c r="AIN7" s="28"/>
      <c r="AIO7" s="28"/>
      <c r="AIP7" s="28"/>
      <c r="AIQ7" s="28"/>
      <c r="AIR7" s="28"/>
      <c r="AIS7" s="28"/>
      <c r="AIT7" s="28"/>
      <c r="AIU7" s="28"/>
      <c r="AIV7" s="28"/>
      <c r="AIW7" s="28"/>
      <c r="AIX7" s="28"/>
      <c r="AIY7" s="28"/>
      <c r="AIZ7" s="28"/>
      <c r="AJA7" s="28"/>
      <c r="AJB7" s="28"/>
      <c r="AJC7" s="28"/>
      <c r="AJD7" s="28"/>
      <c r="AJE7" s="28"/>
      <c r="AJF7" s="28"/>
      <c r="AJG7" s="28"/>
      <c r="AJH7" s="28"/>
      <c r="AJI7" s="28"/>
      <c r="AJJ7" s="28"/>
      <c r="AJK7" s="28"/>
      <c r="AJL7" s="28"/>
      <c r="AJM7" s="28"/>
      <c r="AJN7" s="28"/>
      <c r="AJO7" s="28"/>
      <c r="AJP7" s="28"/>
      <c r="AJQ7" s="28"/>
      <c r="AJR7" s="28"/>
      <c r="AJS7" s="28"/>
      <c r="AJT7" s="28"/>
      <c r="AJU7" s="28"/>
      <c r="AJV7" s="28"/>
      <c r="AJW7" s="28"/>
      <c r="AJX7" s="28"/>
      <c r="AJY7" s="28"/>
      <c r="AJZ7" s="28"/>
      <c r="AKA7" s="28"/>
      <c r="AKB7" s="28"/>
      <c r="AKC7" s="28"/>
      <c r="AKD7" s="28"/>
      <c r="AKE7" s="28"/>
      <c r="AKF7" s="28"/>
      <c r="AKG7" s="28"/>
      <c r="AKH7" s="28"/>
      <c r="AKI7" s="28"/>
      <c r="AKJ7" s="28"/>
      <c r="AKK7" s="28"/>
      <c r="AKL7" s="28"/>
      <c r="AKM7" s="28"/>
      <c r="AKN7" s="28"/>
      <c r="AKO7" s="28"/>
      <c r="AKP7" s="28"/>
      <c r="AKQ7" s="28"/>
      <c r="AKR7" s="28"/>
      <c r="AKS7" s="28"/>
      <c r="AKT7" s="28"/>
      <c r="AKU7" s="28"/>
      <c r="AKV7" s="28"/>
      <c r="AKW7" s="28"/>
      <c r="AKX7" s="28"/>
      <c r="AKY7" s="28"/>
      <c r="AKZ7" s="28"/>
      <c r="ALA7" s="28"/>
      <c r="ALB7" s="28"/>
      <c r="ALC7" s="28"/>
      <c r="ALD7" s="28"/>
      <c r="ALE7" s="28"/>
      <c r="ALF7" s="28"/>
      <c r="ALG7" s="28"/>
      <c r="ALH7" s="28"/>
      <c r="ALI7" s="28"/>
      <c r="ALJ7" s="28"/>
      <c r="ALK7" s="28"/>
      <c r="ALL7" s="28"/>
      <c r="ALM7" s="28"/>
      <c r="ALN7" s="28"/>
      <c r="ALO7" s="28"/>
      <c r="ALP7" s="28"/>
      <c r="ALQ7" s="28"/>
      <c r="ALR7" s="28"/>
      <c r="ALS7" s="28"/>
      <c r="ALT7" s="28"/>
      <c r="ALU7" s="28"/>
      <c r="ALV7" s="28"/>
      <c r="ALW7" s="28"/>
      <c r="ALX7" s="28"/>
      <c r="ALY7" s="28"/>
      <c r="ALZ7" s="28"/>
      <c r="AMA7" s="28"/>
      <c r="AMB7" s="28"/>
      <c r="AMC7" s="28"/>
      <c r="AMD7" s="28"/>
      <c r="AME7" s="28"/>
      <c r="AMF7" s="28"/>
    </row>
    <row r="8" spans="1:1020">
      <c r="A8" s="29">
        <v>3174</v>
      </c>
      <c r="B8" s="19" t="s">
        <v>11</v>
      </c>
      <c r="C8" s="26">
        <v>64</v>
      </c>
      <c r="D8" s="19">
        <v>38.86</v>
      </c>
      <c r="E8" s="26">
        <v>48</v>
      </c>
      <c r="F8" s="17"/>
      <c r="G8" s="17"/>
      <c r="H8" s="23">
        <f t="shared" si="0"/>
        <v>-54.900000000000006</v>
      </c>
      <c r="I8" s="23">
        <f t="shared" si="0"/>
        <v>-36.489999999999995</v>
      </c>
      <c r="J8" s="23">
        <f t="shared" si="0"/>
        <v>-29.400000000000006</v>
      </c>
      <c r="K8" s="30"/>
      <c r="L8" s="15"/>
      <c r="M8" s="2"/>
      <c r="N8" s="2"/>
      <c r="O8" s="2"/>
    </row>
    <row r="9" spans="1:1020">
      <c r="A9" s="18">
        <v>3175</v>
      </c>
      <c r="B9" s="19" t="s">
        <v>12</v>
      </c>
      <c r="C9" s="26">
        <v>81.7</v>
      </c>
      <c r="D9" s="19">
        <v>76.55</v>
      </c>
      <c r="E9" s="26">
        <v>79.8</v>
      </c>
      <c r="F9" s="17"/>
      <c r="G9" s="17"/>
      <c r="H9" s="23">
        <f t="shared" si="0"/>
        <v>0</v>
      </c>
      <c r="I9" s="23">
        <f t="shared" si="0"/>
        <v>0.17000000000000171</v>
      </c>
      <c r="J9" s="23">
        <f t="shared" si="0"/>
        <v>0</v>
      </c>
      <c r="K9" s="30"/>
      <c r="L9" s="15"/>
      <c r="M9" s="2"/>
      <c r="N9" s="2"/>
      <c r="O9" s="2"/>
    </row>
    <row r="10" spans="1:1020">
      <c r="A10" s="29">
        <v>3177</v>
      </c>
      <c r="B10" s="19" t="s">
        <v>13</v>
      </c>
      <c r="C10" s="26">
        <v>26</v>
      </c>
      <c r="D10" s="225">
        <f>26.4+0.53+4.22</f>
        <v>31.15</v>
      </c>
      <c r="E10" s="26">
        <v>23.5</v>
      </c>
      <c r="F10" s="16"/>
      <c r="G10" s="17"/>
      <c r="H10" s="23">
        <f t="shared" si="0"/>
        <v>10.5</v>
      </c>
      <c r="I10" s="23">
        <f t="shared" si="0"/>
        <v>24.441999999999997</v>
      </c>
      <c r="J10" s="23">
        <f t="shared" si="0"/>
        <v>7</v>
      </c>
      <c r="K10" s="30"/>
      <c r="L10" s="15"/>
      <c r="M10" s="27"/>
      <c r="N10" s="27"/>
      <c r="O10" s="27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  <c r="IW10" s="28"/>
      <c r="IX10" s="28"/>
      <c r="IY10" s="28"/>
      <c r="IZ10" s="28"/>
      <c r="JA10" s="28"/>
      <c r="JB10" s="28"/>
      <c r="JC10" s="28"/>
      <c r="JD10" s="28"/>
      <c r="JE10" s="28"/>
      <c r="JF10" s="28"/>
      <c r="JG10" s="28"/>
      <c r="JH10" s="28"/>
      <c r="JI10" s="28"/>
      <c r="JJ10" s="28"/>
      <c r="JK10" s="28"/>
      <c r="JL10" s="28"/>
      <c r="JM10" s="28"/>
      <c r="JN10" s="28"/>
      <c r="JO10" s="28"/>
      <c r="JP10" s="28"/>
      <c r="JQ10" s="28"/>
      <c r="JR10" s="28"/>
      <c r="JS10" s="28"/>
      <c r="JT10" s="28"/>
      <c r="JU10" s="28"/>
      <c r="JV10" s="28"/>
      <c r="JW10" s="28"/>
      <c r="JX10" s="28"/>
      <c r="JY10" s="28"/>
      <c r="JZ10" s="28"/>
      <c r="KA10" s="28"/>
      <c r="KB10" s="28"/>
      <c r="KC10" s="28"/>
      <c r="KD10" s="28"/>
      <c r="KE10" s="28"/>
      <c r="KF10" s="28"/>
      <c r="KG10" s="28"/>
      <c r="KH10" s="28"/>
      <c r="KI10" s="28"/>
      <c r="KJ10" s="28"/>
      <c r="KK10" s="28"/>
      <c r="KL10" s="28"/>
      <c r="KM10" s="28"/>
      <c r="KN10" s="28"/>
      <c r="KO10" s="28"/>
      <c r="KP10" s="28"/>
      <c r="KQ10" s="28"/>
      <c r="KR10" s="28"/>
      <c r="KS10" s="28"/>
      <c r="KT10" s="28"/>
      <c r="KU10" s="28"/>
      <c r="KV10" s="28"/>
      <c r="KW10" s="28"/>
      <c r="KX10" s="28"/>
      <c r="KY10" s="28"/>
      <c r="KZ10" s="28"/>
      <c r="LA10" s="28"/>
      <c r="LB10" s="28"/>
      <c r="LC10" s="28"/>
      <c r="LD10" s="28"/>
      <c r="LE10" s="28"/>
      <c r="LF10" s="28"/>
      <c r="LG10" s="28"/>
      <c r="LH10" s="28"/>
      <c r="LI10" s="28"/>
      <c r="LJ10" s="28"/>
      <c r="LK10" s="28"/>
      <c r="LL10" s="28"/>
      <c r="LM10" s="28"/>
      <c r="LN10" s="28"/>
      <c r="LO10" s="28"/>
      <c r="LP10" s="28"/>
      <c r="LQ10" s="28"/>
      <c r="LR10" s="28"/>
      <c r="LS10" s="28"/>
      <c r="LT10" s="28"/>
      <c r="LU10" s="28"/>
      <c r="LV10" s="28"/>
      <c r="LW10" s="28"/>
      <c r="LX10" s="28"/>
      <c r="LY10" s="28"/>
      <c r="LZ10" s="28"/>
      <c r="MA10" s="28"/>
      <c r="MB10" s="28"/>
      <c r="MC10" s="28"/>
      <c r="MD10" s="28"/>
      <c r="ME10" s="28"/>
      <c r="MF10" s="28"/>
      <c r="MG10" s="28"/>
      <c r="MH10" s="28"/>
      <c r="MI10" s="28"/>
      <c r="MJ10" s="28"/>
      <c r="MK10" s="28"/>
      <c r="ML10" s="28"/>
      <c r="MM10" s="28"/>
      <c r="MN10" s="28"/>
      <c r="MO10" s="28"/>
      <c r="MP10" s="28"/>
      <c r="MQ10" s="28"/>
      <c r="MR10" s="28"/>
      <c r="MS10" s="28"/>
      <c r="MT10" s="28"/>
      <c r="MU10" s="28"/>
      <c r="MV10" s="28"/>
      <c r="MW10" s="28"/>
      <c r="MX10" s="28"/>
      <c r="MY10" s="28"/>
      <c r="MZ10" s="28"/>
      <c r="NA10" s="28"/>
      <c r="NB10" s="28"/>
      <c r="NC10" s="28"/>
      <c r="ND10" s="28"/>
      <c r="NE10" s="28"/>
      <c r="NF10" s="28"/>
      <c r="NG10" s="28"/>
      <c r="NH10" s="28"/>
      <c r="NI10" s="28"/>
      <c r="NJ10" s="28"/>
      <c r="NK10" s="28"/>
      <c r="NL10" s="28"/>
      <c r="NM10" s="28"/>
      <c r="NN10" s="28"/>
      <c r="NO10" s="28"/>
      <c r="NP10" s="28"/>
      <c r="NQ10" s="28"/>
      <c r="NR10" s="28"/>
      <c r="NS10" s="28"/>
      <c r="NT10" s="28"/>
      <c r="NU10" s="28"/>
      <c r="NV10" s="28"/>
      <c r="NW10" s="28"/>
      <c r="NX10" s="28"/>
      <c r="NY10" s="28"/>
      <c r="NZ10" s="28"/>
      <c r="OA10" s="28"/>
      <c r="OB10" s="28"/>
      <c r="OC10" s="28"/>
      <c r="OD10" s="28"/>
      <c r="OE10" s="28"/>
      <c r="OF10" s="28"/>
      <c r="OG10" s="28"/>
      <c r="OH10" s="28"/>
      <c r="OI10" s="28"/>
      <c r="OJ10" s="28"/>
      <c r="OK10" s="28"/>
      <c r="OL10" s="28"/>
      <c r="OM10" s="28"/>
      <c r="ON10" s="28"/>
      <c r="OO10" s="28"/>
      <c r="OP10" s="28"/>
      <c r="OQ10" s="28"/>
      <c r="OR10" s="28"/>
      <c r="OS10" s="28"/>
      <c r="OT10" s="28"/>
      <c r="OU10" s="28"/>
      <c r="OV10" s="28"/>
      <c r="OW10" s="28"/>
      <c r="OX10" s="28"/>
      <c r="OY10" s="28"/>
      <c r="OZ10" s="28"/>
      <c r="PA10" s="28"/>
      <c r="PB10" s="28"/>
      <c r="PC10" s="28"/>
      <c r="PD10" s="28"/>
      <c r="PE10" s="28"/>
      <c r="PF10" s="28"/>
      <c r="PG10" s="28"/>
      <c r="PH10" s="28"/>
      <c r="PI10" s="28"/>
      <c r="PJ10" s="28"/>
      <c r="PK10" s="28"/>
      <c r="PL10" s="28"/>
      <c r="PM10" s="28"/>
      <c r="PN10" s="28"/>
      <c r="PO10" s="28"/>
      <c r="PP10" s="28"/>
      <c r="PQ10" s="28"/>
      <c r="PR10" s="28"/>
      <c r="PS10" s="28"/>
      <c r="PT10" s="28"/>
      <c r="PU10" s="28"/>
      <c r="PV10" s="28"/>
      <c r="PW10" s="28"/>
      <c r="PX10" s="28"/>
      <c r="PY10" s="28"/>
      <c r="PZ10" s="28"/>
      <c r="QA10" s="28"/>
      <c r="QB10" s="28"/>
      <c r="QC10" s="28"/>
      <c r="QD10" s="28"/>
      <c r="QE10" s="28"/>
      <c r="QF10" s="28"/>
      <c r="QG10" s="28"/>
      <c r="QH10" s="28"/>
      <c r="QI10" s="28"/>
      <c r="QJ10" s="28"/>
      <c r="QK10" s="28"/>
      <c r="QL10" s="28"/>
      <c r="QM10" s="28"/>
      <c r="QN10" s="28"/>
      <c r="QO10" s="28"/>
      <c r="QP10" s="28"/>
      <c r="QQ10" s="28"/>
      <c r="QR10" s="28"/>
      <c r="QS10" s="28"/>
      <c r="QT10" s="28"/>
      <c r="QU10" s="28"/>
      <c r="QV10" s="28"/>
      <c r="QW10" s="28"/>
      <c r="QX10" s="28"/>
      <c r="QY10" s="28"/>
      <c r="QZ10" s="28"/>
      <c r="RA10" s="28"/>
      <c r="RB10" s="28"/>
      <c r="RC10" s="28"/>
      <c r="RD10" s="28"/>
      <c r="RE10" s="28"/>
      <c r="RF10" s="28"/>
      <c r="RG10" s="28"/>
      <c r="RH10" s="28"/>
      <c r="RI10" s="28"/>
      <c r="RJ10" s="28"/>
      <c r="RK10" s="28"/>
      <c r="RL10" s="28"/>
      <c r="RM10" s="28"/>
      <c r="RN10" s="28"/>
      <c r="RO10" s="28"/>
      <c r="RP10" s="28"/>
      <c r="RQ10" s="28"/>
      <c r="RR10" s="28"/>
      <c r="RS10" s="28"/>
      <c r="RT10" s="28"/>
      <c r="RU10" s="28"/>
      <c r="RV10" s="28"/>
      <c r="RW10" s="28"/>
      <c r="RX10" s="28"/>
      <c r="RY10" s="28"/>
      <c r="RZ10" s="28"/>
      <c r="SA10" s="28"/>
      <c r="SB10" s="28"/>
      <c r="SC10" s="28"/>
      <c r="SD10" s="28"/>
      <c r="SE10" s="28"/>
      <c r="SF10" s="28"/>
      <c r="SG10" s="28"/>
      <c r="SH10" s="28"/>
      <c r="SI10" s="28"/>
      <c r="SJ10" s="28"/>
      <c r="SK10" s="28"/>
      <c r="SL10" s="28"/>
      <c r="SM10" s="28"/>
      <c r="SN10" s="28"/>
      <c r="SO10" s="28"/>
      <c r="SP10" s="28"/>
      <c r="SQ10" s="28"/>
      <c r="SR10" s="28"/>
      <c r="SS10" s="28"/>
      <c r="ST10" s="28"/>
      <c r="SU10" s="28"/>
      <c r="SV10" s="28"/>
      <c r="SW10" s="28"/>
      <c r="SX10" s="28"/>
      <c r="SY10" s="28"/>
      <c r="SZ10" s="28"/>
      <c r="TA10" s="28"/>
      <c r="TB10" s="28"/>
      <c r="TC10" s="28"/>
      <c r="TD10" s="28"/>
      <c r="TE10" s="28"/>
      <c r="TF10" s="28"/>
      <c r="TG10" s="28"/>
      <c r="TH10" s="28"/>
      <c r="TI10" s="28"/>
      <c r="TJ10" s="28"/>
      <c r="TK10" s="28"/>
      <c r="TL10" s="28"/>
      <c r="TM10" s="28"/>
      <c r="TN10" s="28"/>
      <c r="TO10" s="28"/>
      <c r="TP10" s="28"/>
      <c r="TQ10" s="28"/>
      <c r="TR10" s="28"/>
      <c r="TS10" s="28"/>
      <c r="TT10" s="28"/>
      <c r="TU10" s="28"/>
      <c r="TV10" s="28"/>
      <c r="TW10" s="28"/>
      <c r="TX10" s="28"/>
      <c r="TY10" s="28"/>
      <c r="TZ10" s="28"/>
      <c r="UA10" s="28"/>
      <c r="UB10" s="28"/>
      <c r="UC10" s="28"/>
      <c r="UD10" s="28"/>
      <c r="UE10" s="28"/>
      <c r="UF10" s="28"/>
      <c r="UG10" s="28"/>
      <c r="UH10" s="28"/>
      <c r="UI10" s="28"/>
      <c r="UJ10" s="28"/>
      <c r="UK10" s="28"/>
      <c r="UL10" s="28"/>
      <c r="UM10" s="28"/>
      <c r="UN10" s="28"/>
      <c r="UO10" s="28"/>
      <c r="UP10" s="28"/>
      <c r="UQ10" s="28"/>
      <c r="UR10" s="28"/>
      <c r="US10" s="28"/>
      <c r="UT10" s="28"/>
      <c r="UU10" s="28"/>
      <c r="UV10" s="28"/>
      <c r="UW10" s="28"/>
      <c r="UX10" s="28"/>
      <c r="UY10" s="28"/>
      <c r="UZ10" s="28"/>
      <c r="VA10" s="28"/>
      <c r="VB10" s="28"/>
      <c r="VC10" s="28"/>
      <c r="VD10" s="28"/>
      <c r="VE10" s="28"/>
      <c r="VF10" s="28"/>
      <c r="VG10" s="28"/>
      <c r="VH10" s="28"/>
      <c r="VI10" s="28"/>
      <c r="VJ10" s="28"/>
      <c r="VK10" s="28"/>
      <c r="VL10" s="28"/>
      <c r="VM10" s="28"/>
      <c r="VN10" s="28"/>
      <c r="VO10" s="28"/>
      <c r="VP10" s="28"/>
      <c r="VQ10" s="28"/>
      <c r="VR10" s="28"/>
      <c r="VS10" s="28"/>
      <c r="VT10" s="28"/>
      <c r="VU10" s="28"/>
      <c r="VV10" s="28"/>
      <c r="VW10" s="28"/>
      <c r="VX10" s="28"/>
      <c r="VY10" s="28"/>
      <c r="VZ10" s="28"/>
      <c r="WA10" s="28"/>
      <c r="WB10" s="28"/>
      <c r="WC10" s="28"/>
      <c r="WD10" s="28"/>
      <c r="WE10" s="28"/>
      <c r="WF10" s="28"/>
      <c r="WG10" s="28"/>
      <c r="WH10" s="28"/>
      <c r="WI10" s="28"/>
      <c r="WJ10" s="28"/>
      <c r="WK10" s="28"/>
      <c r="WL10" s="28"/>
      <c r="WM10" s="28"/>
      <c r="WN10" s="28"/>
      <c r="WO10" s="28"/>
      <c r="WP10" s="28"/>
      <c r="WQ10" s="28"/>
      <c r="WR10" s="28"/>
      <c r="WS10" s="28"/>
      <c r="WT10" s="28"/>
      <c r="WU10" s="28"/>
      <c r="WV10" s="28"/>
      <c r="WW10" s="28"/>
      <c r="WX10" s="28"/>
      <c r="WY10" s="28"/>
      <c r="WZ10" s="28"/>
      <c r="XA10" s="28"/>
      <c r="XB10" s="28"/>
      <c r="XC10" s="28"/>
      <c r="XD10" s="28"/>
      <c r="XE10" s="28"/>
      <c r="XF10" s="28"/>
      <c r="XG10" s="28"/>
      <c r="XH10" s="28"/>
      <c r="XI10" s="28"/>
      <c r="XJ10" s="28"/>
      <c r="XK10" s="28"/>
      <c r="XL10" s="28"/>
      <c r="XM10" s="28"/>
      <c r="XN10" s="28"/>
      <c r="XO10" s="28"/>
      <c r="XP10" s="28"/>
      <c r="XQ10" s="28"/>
      <c r="XR10" s="28"/>
      <c r="XS10" s="28"/>
      <c r="XT10" s="28"/>
      <c r="XU10" s="28"/>
      <c r="XV10" s="28"/>
      <c r="XW10" s="28"/>
      <c r="XX10" s="28"/>
      <c r="XY10" s="28"/>
      <c r="XZ10" s="28"/>
      <c r="YA10" s="28"/>
      <c r="YB10" s="28"/>
      <c r="YC10" s="28"/>
      <c r="YD10" s="28"/>
      <c r="YE10" s="28"/>
      <c r="YF10" s="28"/>
      <c r="YG10" s="28"/>
      <c r="YH10" s="28"/>
      <c r="YI10" s="28"/>
      <c r="YJ10" s="28"/>
      <c r="YK10" s="28"/>
      <c r="YL10" s="28"/>
      <c r="YM10" s="28"/>
      <c r="YN10" s="28"/>
      <c r="YO10" s="28"/>
      <c r="YP10" s="28"/>
      <c r="YQ10" s="28"/>
      <c r="YR10" s="28"/>
      <c r="YS10" s="28"/>
      <c r="YT10" s="28"/>
      <c r="YU10" s="28"/>
      <c r="YV10" s="28"/>
      <c r="YW10" s="28"/>
      <c r="YX10" s="28"/>
      <c r="YY10" s="28"/>
      <c r="YZ10" s="28"/>
      <c r="ZA10" s="28"/>
      <c r="ZB10" s="28"/>
      <c r="ZC10" s="28"/>
      <c r="ZD10" s="28"/>
      <c r="ZE10" s="28"/>
      <c r="ZF10" s="28"/>
      <c r="ZG10" s="28"/>
      <c r="ZH10" s="28"/>
      <c r="ZI10" s="28"/>
      <c r="ZJ10" s="28"/>
      <c r="ZK10" s="28"/>
      <c r="ZL10" s="28"/>
      <c r="ZM10" s="28"/>
      <c r="ZN10" s="28"/>
      <c r="ZO10" s="28"/>
      <c r="ZP10" s="28"/>
      <c r="ZQ10" s="28"/>
      <c r="ZR10" s="28"/>
      <c r="ZS10" s="28"/>
      <c r="ZT10" s="28"/>
      <c r="ZU10" s="28"/>
      <c r="ZV10" s="28"/>
      <c r="ZW10" s="28"/>
      <c r="ZX10" s="28"/>
      <c r="ZY10" s="28"/>
      <c r="ZZ10" s="28"/>
      <c r="AAA10" s="28"/>
      <c r="AAB10" s="28"/>
      <c r="AAC10" s="28"/>
      <c r="AAD10" s="28"/>
      <c r="AAE10" s="28"/>
      <c r="AAF10" s="28"/>
      <c r="AAG10" s="28"/>
      <c r="AAH10" s="28"/>
      <c r="AAI10" s="28"/>
      <c r="AAJ10" s="28"/>
      <c r="AAK10" s="28"/>
      <c r="AAL10" s="28"/>
      <c r="AAM10" s="28"/>
      <c r="AAN10" s="28"/>
      <c r="AAO10" s="28"/>
      <c r="AAP10" s="28"/>
      <c r="AAQ10" s="28"/>
      <c r="AAR10" s="28"/>
      <c r="AAS10" s="28"/>
      <c r="AAT10" s="28"/>
      <c r="AAU10" s="28"/>
      <c r="AAV10" s="28"/>
      <c r="AAW10" s="28"/>
      <c r="AAX10" s="28"/>
      <c r="AAY10" s="28"/>
      <c r="AAZ10" s="28"/>
      <c r="ABA10" s="28"/>
      <c r="ABB10" s="28"/>
      <c r="ABC10" s="28"/>
      <c r="ABD10" s="28"/>
      <c r="ABE10" s="28"/>
      <c r="ABF10" s="28"/>
      <c r="ABG10" s="28"/>
      <c r="ABH10" s="28"/>
      <c r="ABI10" s="28"/>
      <c r="ABJ10" s="28"/>
      <c r="ABK10" s="28"/>
      <c r="ABL10" s="28"/>
      <c r="ABM10" s="28"/>
      <c r="ABN10" s="28"/>
      <c r="ABO10" s="28"/>
      <c r="ABP10" s="28"/>
      <c r="ABQ10" s="28"/>
      <c r="ABR10" s="28"/>
      <c r="ABS10" s="28"/>
      <c r="ABT10" s="28"/>
      <c r="ABU10" s="28"/>
      <c r="ABV10" s="28"/>
      <c r="ABW10" s="28"/>
      <c r="ABX10" s="28"/>
      <c r="ABY10" s="28"/>
      <c r="ABZ10" s="28"/>
      <c r="ACA10" s="28"/>
      <c r="ACB10" s="28"/>
      <c r="ACC10" s="28"/>
      <c r="ACD10" s="28"/>
      <c r="ACE10" s="28"/>
      <c r="ACF10" s="28"/>
      <c r="ACG10" s="28"/>
      <c r="ACH10" s="28"/>
      <c r="ACI10" s="28"/>
      <c r="ACJ10" s="28"/>
      <c r="ACK10" s="28"/>
      <c r="ACL10" s="28"/>
      <c r="ACM10" s="28"/>
      <c r="ACN10" s="28"/>
      <c r="ACO10" s="28"/>
      <c r="ACP10" s="28"/>
      <c r="ACQ10" s="28"/>
      <c r="ACR10" s="28"/>
      <c r="ACS10" s="28"/>
      <c r="ACT10" s="28"/>
      <c r="ACU10" s="28"/>
      <c r="ACV10" s="28"/>
      <c r="ACW10" s="28"/>
      <c r="ACX10" s="28"/>
      <c r="ACY10" s="28"/>
      <c r="ACZ10" s="28"/>
      <c r="ADA10" s="28"/>
      <c r="ADB10" s="28"/>
      <c r="ADC10" s="28"/>
      <c r="ADD10" s="28"/>
      <c r="ADE10" s="28"/>
      <c r="ADF10" s="28"/>
      <c r="ADG10" s="28"/>
      <c r="ADH10" s="28"/>
      <c r="ADI10" s="28"/>
      <c r="ADJ10" s="28"/>
      <c r="ADK10" s="28"/>
      <c r="ADL10" s="28"/>
      <c r="ADM10" s="28"/>
      <c r="ADN10" s="28"/>
      <c r="ADO10" s="28"/>
      <c r="ADP10" s="28"/>
      <c r="ADQ10" s="28"/>
      <c r="ADR10" s="28"/>
      <c r="ADS10" s="28"/>
      <c r="ADT10" s="28"/>
      <c r="ADU10" s="28"/>
      <c r="ADV10" s="28"/>
      <c r="ADW10" s="28"/>
      <c r="ADX10" s="28"/>
      <c r="ADY10" s="28"/>
      <c r="ADZ10" s="28"/>
      <c r="AEA10" s="28"/>
      <c r="AEB10" s="28"/>
      <c r="AEC10" s="28"/>
      <c r="AED10" s="28"/>
      <c r="AEE10" s="28"/>
      <c r="AEF10" s="28"/>
      <c r="AEG10" s="28"/>
      <c r="AEH10" s="28"/>
      <c r="AEI10" s="28"/>
      <c r="AEJ10" s="28"/>
      <c r="AEK10" s="28"/>
      <c r="AEL10" s="28"/>
      <c r="AEM10" s="28"/>
      <c r="AEN10" s="28"/>
      <c r="AEO10" s="28"/>
      <c r="AEP10" s="28"/>
      <c r="AEQ10" s="28"/>
      <c r="AER10" s="28"/>
      <c r="AES10" s="28"/>
      <c r="AET10" s="28"/>
      <c r="AEU10" s="28"/>
      <c r="AEV10" s="28"/>
      <c r="AEW10" s="28"/>
      <c r="AEX10" s="28"/>
      <c r="AEY10" s="28"/>
      <c r="AEZ10" s="28"/>
      <c r="AFA10" s="28"/>
      <c r="AFB10" s="28"/>
      <c r="AFC10" s="28"/>
      <c r="AFD10" s="28"/>
      <c r="AFE10" s="28"/>
      <c r="AFF10" s="28"/>
      <c r="AFG10" s="28"/>
      <c r="AFH10" s="28"/>
      <c r="AFI10" s="28"/>
      <c r="AFJ10" s="28"/>
      <c r="AFK10" s="28"/>
      <c r="AFL10" s="28"/>
      <c r="AFM10" s="28"/>
      <c r="AFN10" s="28"/>
      <c r="AFO10" s="28"/>
      <c r="AFP10" s="28"/>
      <c r="AFQ10" s="28"/>
      <c r="AFR10" s="28"/>
      <c r="AFS10" s="28"/>
      <c r="AFT10" s="28"/>
      <c r="AFU10" s="28"/>
      <c r="AFV10" s="28"/>
      <c r="AFW10" s="28"/>
      <c r="AFX10" s="28"/>
      <c r="AFY10" s="28"/>
      <c r="AFZ10" s="28"/>
      <c r="AGA10" s="28"/>
      <c r="AGB10" s="28"/>
      <c r="AGC10" s="28"/>
      <c r="AGD10" s="28"/>
      <c r="AGE10" s="28"/>
      <c r="AGF10" s="28"/>
      <c r="AGG10" s="28"/>
      <c r="AGH10" s="28"/>
      <c r="AGI10" s="28"/>
      <c r="AGJ10" s="28"/>
      <c r="AGK10" s="28"/>
      <c r="AGL10" s="28"/>
      <c r="AGM10" s="28"/>
      <c r="AGN10" s="28"/>
      <c r="AGO10" s="28"/>
      <c r="AGP10" s="28"/>
      <c r="AGQ10" s="28"/>
      <c r="AGR10" s="28"/>
      <c r="AGS10" s="28"/>
      <c r="AGT10" s="28"/>
      <c r="AGU10" s="28"/>
      <c r="AGV10" s="28"/>
      <c r="AGW10" s="28"/>
      <c r="AGX10" s="28"/>
      <c r="AGY10" s="28"/>
      <c r="AGZ10" s="28"/>
      <c r="AHA10" s="28"/>
      <c r="AHB10" s="28"/>
      <c r="AHC10" s="28"/>
      <c r="AHD10" s="28"/>
      <c r="AHE10" s="28"/>
      <c r="AHF10" s="28"/>
      <c r="AHG10" s="28"/>
      <c r="AHH10" s="28"/>
      <c r="AHI10" s="28"/>
      <c r="AHJ10" s="28"/>
      <c r="AHK10" s="28"/>
      <c r="AHL10" s="28"/>
      <c r="AHM10" s="28"/>
      <c r="AHN10" s="28"/>
      <c r="AHO10" s="28"/>
      <c r="AHP10" s="28"/>
      <c r="AHQ10" s="28"/>
      <c r="AHR10" s="28"/>
      <c r="AHS10" s="28"/>
      <c r="AHT10" s="28"/>
      <c r="AHU10" s="28"/>
      <c r="AHV10" s="28"/>
      <c r="AHW10" s="28"/>
      <c r="AHX10" s="28"/>
      <c r="AHY10" s="28"/>
      <c r="AHZ10" s="28"/>
      <c r="AIA10" s="28"/>
      <c r="AIB10" s="28"/>
      <c r="AIC10" s="28"/>
      <c r="AID10" s="28"/>
      <c r="AIE10" s="28"/>
      <c r="AIF10" s="28"/>
      <c r="AIG10" s="28"/>
      <c r="AIH10" s="28"/>
      <c r="AII10" s="28"/>
      <c r="AIJ10" s="28"/>
      <c r="AIK10" s="28"/>
      <c r="AIL10" s="28"/>
      <c r="AIM10" s="28"/>
      <c r="AIN10" s="28"/>
      <c r="AIO10" s="28"/>
      <c r="AIP10" s="28"/>
      <c r="AIQ10" s="28"/>
      <c r="AIR10" s="28"/>
      <c r="AIS10" s="28"/>
      <c r="AIT10" s="28"/>
      <c r="AIU10" s="28"/>
      <c r="AIV10" s="28"/>
      <c r="AIW10" s="28"/>
      <c r="AIX10" s="28"/>
      <c r="AIY10" s="28"/>
      <c r="AIZ10" s="28"/>
      <c r="AJA10" s="28"/>
      <c r="AJB10" s="28"/>
      <c r="AJC10" s="28"/>
      <c r="AJD10" s="28"/>
      <c r="AJE10" s="28"/>
      <c r="AJF10" s="28"/>
      <c r="AJG10" s="28"/>
      <c r="AJH10" s="28"/>
      <c r="AJI10" s="28"/>
      <c r="AJJ10" s="28"/>
      <c r="AJK10" s="28"/>
      <c r="AJL10" s="28"/>
      <c r="AJM10" s="28"/>
      <c r="AJN10" s="28"/>
      <c r="AJO10" s="28"/>
      <c r="AJP10" s="28"/>
      <c r="AJQ10" s="28"/>
      <c r="AJR10" s="28"/>
      <c r="AJS10" s="28"/>
      <c r="AJT10" s="28"/>
      <c r="AJU10" s="28"/>
      <c r="AJV10" s="28"/>
      <c r="AJW10" s="28"/>
      <c r="AJX10" s="28"/>
      <c r="AJY10" s="28"/>
      <c r="AJZ10" s="28"/>
      <c r="AKA10" s="28"/>
      <c r="AKB10" s="28"/>
      <c r="AKC10" s="28"/>
      <c r="AKD10" s="28"/>
      <c r="AKE10" s="28"/>
      <c r="AKF10" s="28"/>
      <c r="AKG10" s="28"/>
      <c r="AKH10" s="28"/>
      <c r="AKI10" s="28"/>
      <c r="AKJ10" s="28"/>
      <c r="AKK10" s="28"/>
      <c r="AKL10" s="28"/>
      <c r="AKM10" s="28"/>
      <c r="AKN10" s="28"/>
      <c r="AKO10" s="28"/>
      <c r="AKP10" s="28"/>
      <c r="AKQ10" s="28"/>
      <c r="AKR10" s="28"/>
      <c r="AKS10" s="28"/>
      <c r="AKT10" s="28"/>
      <c r="AKU10" s="28"/>
      <c r="AKV10" s="28"/>
      <c r="AKW10" s="28"/>
      <c r="AKX10" s="28"/>
      <c r="AKY10" s="28"/>
      <c r="AKZ10" s="28"/>
      <c r="ALA10" s="28"/>
      <c r="ALB10" s="28"/>
      <c r="ALC10" s="28"/>
      <c r="ALD10" s="28"/>
      <c r="ALE10" s="28"/>
      <c r="ALF10" s="28"/>
      <c r="ALG10" s="28"/>
      <c r="ALH10" s="28"/>
      <c r="ALI10" s="28"/>
      <c r="ALJ10" s="28"/>
      <c r="ALK10" s="28"/>
      <c r="ALL10" s="28"/>
      <c r="ALM10" s="28"/>
      <c r="ALN10" s="28"/>
      <c r="ALO10" s="28"/>
      <c r="ALP10" s="28"/>
      <c r="ALQ10" s="28"/>
      <c r="ALR10" s="28"/>
      <c r="ALS10" s="28"/>
      <c r="ALT10" s="28"/>
      <c r="ALU10" s="28"/>
      <c r="ALV10" s="28"/>
      <c r="ALW10" s="28"/>
      <c r="ALX10" s="28"/>
      <c r="ALY10" s="28"/>
      <c r="ALZ10" s="28"/>
      <c r="AMA10" s="28"/>
      <c r="AMB10" s="28"/>
      <c r="AMC10" s="28"/>
      <c r="AMD10" s="28"/>
      <c r="AME10" s="28"/>
      <c r="AMF10" s="28"/>
    </row>
    <row r="11" spans="1:1020">
      <c r="A11" s="29">
        <v>3178</v>
      </c>
      <c r="B11" s="19" t="s">
        <v>14</v>
      </c>
      <c r="C11" s="26">
        <v>72</v>
      </c>
      <c r="D11" s="19">
        <v>87.45</v>
      </c>
      <c r="E11" s="26">
        <v>81</v>
      </c>
      <c r="F11" s="17"/>
      <c r="G11" s="17"/>
      <c r="H11" s="23">
        <f t="shared" si="0"/>
        <v>0</v>
      </c>
      <c r="I11" s="23">
        <f t="shared" si="0"/>
        <v>25.162000000000006</v>
      </c>
      <c r="J11" s="23">
        <f t="shared" si="0"/>
        <v>5</v>
      </c>
      <c r="K11" s="31"/>
      <c r="L11" s="15"/>
      <c r="M11" s="2"/>
      <c r="N11" s="2"/>
      <c r="O11" s="2"/>
    </row>
    <row r="12" spans="1:1020">
      <c r="A12" s="18">
        <v>3540</v>
      </c>
      <c r="B12" s="19" t="s">
        <v>15</v>
      </c>
      <c r="C12" s="26"/>
      <c r="D12" s="19">
        <v>0</v>
      </c>
      <c r="E12" s="26"/>
      <c r="F12" s="17"/>
      <c r="G12" s="17"/>
      <c r="H12" s="23">
        <f>C12-C23</f>
        <v>-7.5</v>
      </c>
      <c r="I12" s="23">
        <f>D12-D23</f>
        <v>-1.917</v>
      </c>
      <c r="J12" s="23">
        <f>E12-E23</f>
        <v>-2</v>
      </c>
      <c r="K12" s="30"/>
      <c r="L12" s="15"/>
      <c r="M12" s="2"/>
      <c r="N12" s="2"/>
      <c r="O12" s="2"/>
    </row>
    <row r="13" spans="1:1020">
      <c r="A13" s="18"/>
      <c r="B13" s="19"/>
      <c r="C13" s="26"/>
      <c r="D13" s="19"/>
      <c r="E13" s="26"/>
      <c r="F13" s="17"/>
      <c r="G13" s="17"/>
      <c r="H13" s="23"/>
      <c r="I13" s="23"/>
      <c r="J13" s="23"/>
      <c r="K13" s="32"/>
      <c r="L13" s="15"/>
      <c r="M13" s="2"/>
      <c r="N13" s="2"/>
      <c r="O13" s="2"/>
    </row>
    <row r="14" spans="1:1020">
      <c r="A14" s="18"/>
      <c r="B14" s="19" t="s">
        <v>16</v>
      </c>
      <c r="C14" s="26">
        <v>5</v>
      </c>
      <c r="D14" s="19"/>
      <c r="E14" s="26">
        <v>5</v>
      </c>
      <c r="F14" s="17"/>
      <c r="G14" s="17"/>
      <c r="H14" s="23"/>
      <c r="I14" s="23"/>
      <c r="J14" s="23"/>
      <c r="K14" s="31"/>
      <c r="L14" s="15"/>
      <c r="M14" s="27"/>
      <c r="N14" s="27"/>
      <c r="O14" s="27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  <c r="KH14" s="28"/>
      <c r="KI14" s="28"/>
      <c r="KJ14" s="28"/>
      <c r="KK14" s="28"/>
      <c r="KL14" s="28"/>
      <c r="KM14" s="28"/>
      <c r="KN14" s="28"/>
      <c r="KO14" s="28"/>
      <c r="KP14" s="28"/>
      <c r="KQ14" s="28"/>
      <c r="KR14" s="28"/>
      <c r="KS14" s="28"/>
      <c r="KT14" s="28"/>
      <c r="KU14" s="28"/>
      <c r="KV14" s="28"/>
      <c r="KW14" s="28"/>
      <c r="KX14" s="28"/>
      <c r="KY14" s="28"/>
      <c r="KZ14" s="28"/>
      <c r="LA14" s="28"/>
      <c r="LB14" s="28"/>
      <c r="LC14" s="28"/>
      <c r="LD14" s="28"/>
      <c r="LE14" s="28"/>
      <c r="LF14" s="28"/>
      <c r="LG14" s="28"/>
      <c r="LH14" s="28"/>
      <c r="LI14" s="28"/>
      <c r="LJ14" s="28"/>
      <c r="LK14" s="28"/>
      <c r="LL14" s="28"/>
      <c r="LM14" s="28"/>
      <c r="LN14" s="28"/>
      <c r="LO14" s="28"/>
      <c r="LP14" s="28"/>
      <c r="LQ14" s="28"/>
      <c r="LR14" s="28"/>
      <c r="LS14" s="28"/>
      <c r="LT14" s="28"/>
      <c r="LU14" s="28"/>
      <c r="LV14" s="28"/>
      <c r="LW14" s="28"/>
      <c r="LX14" s="28"/>
      <c r="LY14" s="28"/>
      <c r="LZ14" s="28"/>
      <c r="MA14" s="28"/>
      <c r="MB14" s="28"/>
      <c r="MC14" s="28"/>
      <c r="MD14" s="28"/>
      <c r="ME14" s="28"/>
      <c r="MF14" s="28"/>
      <c r="MG14" s="28"/>
      <c r="MH14" s="28"/>
      <c r="MI14" s="28"/>
      <c r="MJ14" s="28"/>
      <c r="MK14" s="28"/>
      <c r="ML14" s="28"/>
      <c r="MM14" s="28"/>
      <c r="MN14" s="28"/>
      <c r="MO14" s="28"/>
      <c r="MP14" s="28"/>
      <c r="MQ14" s="28"/>
      <c r="MR14" s="28"/>
      <c r="MS14" s="28"/>
      <c r="MT14" s="28"/>
      <c r="MU14" s="28"/>
      <c r="MV14" s="28"/>
      <c r="MW14" s="28"/>
      <c r="MX14" s="28"/>
      <c r="MY14" s="28"/>
      <c r="MZ14" s="28"/>
      <c r="NA14" s="28"/>
      <c r="NB14" s="28"/>
      <c r="NC14" s="28"/>
      <c r="ND14" s="28"/>
      <c r="NE14" s="28"/>
      <c r="NF14" s="28"/>
      <c r="NG14" s="28"/>
      <c r="NH14" s="28"/>
      <c r="NI14" s="28"/>
      <c r="NJ14" s="28"/>
      <c r="NK14" s="28"/>
      <c r="NL14" s="28"/>
      <c r="NM14" s="28"/>
      <c r="NN14" s="28"/>
      <c r="NO14" s="28"/>
      <c r="NP14" s="28"/>
      <c r="NQ14" s="28"/>
      <c r="NR14" s="28"/>
      <c r="NS14" s="28"/>
      <c r="NT14" s="28"/>
      <c r="NU14" s="28"/>
      <c r="NV14" s="28"/>
      <c r="NW14" s="28"/>
      <c r="NX14" s="28"/>
      <c r="NY14" s="28"/>
      <c r="NZ14" s="28"/>
      <c r="OA14" s="28"/>
      <c r="OB14" s="28"/>
      <c r="OC14" s="28"/>
      <c r="OD14" s="28"/>
      <c r="OE14" s="28"/>
      <c r="OF14" s="28"/>
      <c r="OG14" s="28"/>
      <c r="OH14" s="28"/>
      <c r="OI14" s="28"/>
      <c r="OJ14" s="28"/>
      <c r="OK14" s="28"/>
      <c r="OL14" s="28"/>
      <c r="OM14" s="28"/>
      <c r="ON14" s="28"/>
      <c r="OO14" s="28"/>
      <c r="OP14" s="28"/>
      <c r="OQ14" s="28"/>
      <c r="OR14" s="28"/>
      <c r="OS14" s="28"/>
      <c r="OT14" s="28"/>
      <c r="OU14" s="28"/>
      <c r="OV14" s="28"/>
      <c r="OW14" s="28"/>
      <c r="OX14" s="28"/>
      <c r="OY14" s="28"/>
      <c r="OZ14" s="28"/>
      <c r="PA14" s="28"/>
      <c r="PB14" s="28"/>
      <c r="PC14" s="28"/>
      <c r="PD14" s="28"/>
      <c r="PE14" s="28"/>
      <c r="PF14" s="28"/>
      <c r="PG14" s="28"/>
      <c r="PH14" s="28"/>
      <c r="PI14" s="28"/>
      <c r="PJ14" s="28"/>
      <c r="PK14" s="28"/>
      <c r="PL14" s="28"/>
      <c r="PM14" s="28"/>
      <c r="PN14" s="28"/>
      <c r="PO14" s="28"/>
      <c r="PP14" s="28"/>
      <c r="PQ14" s="28"/>
      <c r="PR14" s="28"/>
      <c r="PS14" s="28"/>
      <c r="PT14" s="28"/>
      <c r="PU14" s="28"/>
      <c r="PV14" s="28"/>
      <c r="PW14" s="28"/>
      <c r="PX14" s="28"/>
      <c r="PY14" s="28"/>
      <c r="PZ14" s="28"/>
      <c r="QA14" s="28"/>
      <c r="QB14" s="28"/>
      <c r="QC14" s="28"/>
      <c r="QD14" s="28"/>
      <c r="QE14" s="28"/>
      <c r="QF14" s="28"/>
      <c r="QG14" s="28"/>
      <c r="QH14" s="28"/>
      <c r="QI14" s="28"/>
      <c r="QJ14" s="28"/>
      <c r="QK14" s="28"/>
      <c r="QL14" s="28"/>
      <c r="QM14" s="28"/>
      <c r="QN14" s="28"/>
      <c r="QO14" s="28"/>
      <c r="QP14" s="28"/>
      <c r="QQ14" s="28"/>
      <c r="QR14" s="28"/>
      <c r="QS14" s="28"/>
      <c r="QT14" s="28"/>
      <c r="QU14" s="28"/>
      <c r="QV14" s="28"/>
      <c r="QW14" s="28"/>
      <c r="QX14" s="28"/>
      <c r="QY14" s="28"/>
      <c r="QZ14" s="28"/>
      <c r="RA14" s="28"/>
      <c r="RB14" s="28"/>
      <c r="RC14" s="28"/>
      <c r="RD14" s="28"/>
      <c r="RE14" s="28"/>
      <c r="RF14" s="28"/>
      <c r="RG14" s="28"/>
      <c r="RH14" s="28"/>
      <c r="RI14" s="28"/>
      <c r="RJ14" s="28"/>
      <c r="RK14" s="28"/>
      <c r="RL14" s="28"/>
      <c r="RM14" s="28"/>
      <c r="RN14" s="28"/>
      <c r="RO14" s="28"/>
      <c r="RP14" s="28"/>
      <c r="RQ14" s="28"/>
      <c r="RR14" s="28"/>
      <c r="RS14" s="28"/>
      <c r="RT14" s="28"/>
      <c r="RU14" s="28"/>
      <c r="RV14" s="28"/>
      <c r="RW14" s="28"/>
      <c r="RX14" s="28"/>
      <c r="RY14" s="28"/>
      <c r="RZ14" s="28"/>
      <c r="SA14" s="28"/>
      <c r="SB14" s="28"/>
      <c r="SC14" s="28"/>
      <c r="SD14" s="28"/>
      <c r="SE14" s="28"/>
      <c r="SF14" s="28"/>
      <c r="SG14" s="28"/>
      <c r="SH14" s="28"/>
      <c r="SI14" s="28"/>
      <c r="SJ14" s="28"/>
      <c r="SK14" s="28"/>
      <c r="SL14" s="28"/>
      <c r="SM14" s="28"/>
      <c r="SN14" s="28"/>
      <c r="SO14" s="28"/>
      <c r="SP14" s="28"/>
      <c r="SQ14" s="28"/>
      <c r="SR14" s="28"/>
      <c r="SS14" s="28"/>
      <c r="ST14" s="28"/>
      <c r="SU14" s="28"/>
      <c r="SV14" s="28"/>
      <c r="SW14" s="28"/>
      <c r="SX14" s="28"/>
      <c r="SY14" s="28"/>
      <c r="SZ14" s="28"/>
      <c r="TA14" s="28"/>
      <c r="TB14" s="28"/>
      <c r="TC14" s="28"/>
      <c r="TD14" s="28"/>
      <c r="TE14" s="28"/>
      <c r="TF14" s="28"/>
      <c r="TG14" s="28"/>
      <c r="TH14" s="28"/>
      <c r="TI14" s="28"/>
      <c r="TJ14" s="28"/>
      <c r="TK14" s="28"/>
      <c r="TL14" s="28"/>
      <c r="TM14" s="28"/>
      <c r="TN14" s="28"/>
      <c r="TO14" s="28"/>
      <c r="TP14" s="28"/>
      <c r="TQ14" s="28"/>
      <c r="TR14" s="28"/>
      <c r="TS14" s="28"/>
      <c r="TT14" s="28"/>
      <c r="TU14" s="28"/>
      <c r="TV14" s="28"/>
      <c r="TW14" s="28"/>
      <c r="TX14" s="28"/>
      <c r="TY14" s="28"/>
      <c r="TZ14" s="28"/>
      <c r="UA14" s="28"/>
      <c r="UB14" s="28"/>
      <c r="UC14" s="28"/>
      <c r="UD14" s="28"/>
      <c r="UE14" s="28"/>
      <c r="UF14" s="28"/>
      <c r="UG14" s="28"/>
      <c r="UH14" s="28"/>
      <c r="UI14" s="28"/>
      <c r="UJ14" s="28"/>
      <c r="UK14" s="28"/>
      <c r="UL14" s="28"/>
      <c r="UM14" s="28"/>
      <c r="UN14" s="28"/>
      <c r="UO14" s="28"/>
      <c r="UP14" s="28"/>
      <c r="UQ14" s="28"/>
      <c r="UR14" s="28"/>
      <c r="US14" s="28"/>
      <c r="UT14" s="28"/>
      <c r="UU14" s="28"/>
      <c r="UV14" s="28"/>
      <c r="UW14" s="28"/>
      <c r="UX14" s="28"/>
      <c r="UY14" s="28"/>
      <c r="UZ14" s="28"/>
      <c r="VA14" s="28"/>
      <c r="VB14" s="28"/>
      <c r="VC14" s="28"/>
      <c r="VD14" s="28"/>
      <c r="VE14" s="28"/>
      <c r="VF14" s="28"/>
      <c r="VG14" s="28"/>
      <c r="VH14" s="28"/>
      <c r="VI14" s="28"/>
      <c r="VJ14" s="28"/>
      <c r="VK14" s="28"/>
      <c r="VL14" s="28"/>
      <c r="VM14" s="28"/>
      <c r="VN14" s="28"/>
      <c r="VO14" s="28"/>
      <c r="VP14" s="28"/>
      <c r="VQ14" s="28"/>
      <c r="VR14" s="28"/>
      <c r="VS14" s="28"/>
      <c r="VT14" s="28"/>
      <c r="VU14" s="28"/>
      <c r="VV14" s="28"/>
      <c r="VW14" s="28"/>
      <c r="VX14" s="28"/>
      <c r="VY14" s="28"/>
      <c r="VZ14" s="28"/>
      <c r="WA14" s="28"/>
      <c r="WB14" s="28"/>
      <c r="WC14" s="28"/>
      <c r="WD14" s="28"/>
      <c r="WE14" s="28"/>
      <c r="WF14" s="28"/>
      <c r="WG14" s="28"/>
      <c r="WH14" s="28"/>
      <c r="WI14" s="28"/>
      <c r="WJ14" s="28"/>
      <c r="WK14" s="28"/>
      <c r="WL14" s="28"/>
      <c r="WM14" s="28"/>
      <c r="WN14" s="28"/>
      <c r="WO14" s="28"/>
      <c r="WP14" s="28"/>
      <c r="WQ14" s="28"/>
      <c r="WR14" s="28"/>
      <c r="WS14" s="28"/>
      <c r="WT14" s="28"/>
      <c r="WU14" s="28"/>
      <c r="WV14" s="28"/>
      <c r="WW14" s="28"/>
      <c r="WX14" s="28"/>
      <c r="WY14" s="28"/>
      <c r="WZ14" s="28"/>
      <c r="XA14" s="28"/>
      <c r="XB14" s="28"/>
      <c r="XC14" s="28"/>
      <c r="XD14" s="28"/>
      <c r="XE14" s="28"/>
      <c r="XF14" s="28"/>
      <c r="XG14" s="28"/>
      <c r="XH14" s="28"/>
      <c r="XI14" s="28"/>
      <c r="XJ14" s="28"/>
      <c r="XK14" s="28"/>
      <c r="XL14" s="28"/>
      <c r="XM14" s="28"/>
      <c r="XN14" s="28"/>
      <c r="XO14" s="28"/>
      <c r="XP14" s="28"/>
      <c r="XQ14" s="28"/>
      <c r="XR14" s="28"/>
      <c r="XS14" s="28"/>
      <c r="XT14" s="28"/>
      <c r="XU14" s="28"/>
      <c r="XV14" s="28"/>
      <c r="XW14" s="28"/>
      <c r="XX14" s="28"/>
      <c r="XY14" s="28"/>
      <c r="XZ14" s="28"/>
      <c r="YA14" s="28"/>
      <c r="YB14" s="28"/>
      <c r="YC14" s="28"/>
      <c r="YD14" s="28"/>
      <c r="YE14" s="28"/>
      <c r="YF14" s="28"/>
      <c r="YG14" s="28"/>
      <c r="YH14" s="28"/>
      <c r="YI14" s="28"/>
      <c r="YJ14" s="28"/>
      <c r="YK14" s="28"/>
      <c r="YL14" s="28"/>
      <c r="YM14" s="28"/>
      <c r="YN14" s="28"/>
      <c r="YO14" s="28"/>
      <c r="YP14" s="28"/>
      <c r="YQ14" s="28"/>
      <c r="YR14" s="28"/>
      <c r="YS14" s="28"/>
      <c r="YT14" s="28"/>
      <c r="YU14" s="28"/>
      <c r="YV14" s="28"/>
      <c r="YW14" s="28"/>
      <c r="YX14" s="28"/>
      <c r="YY14" s="28"/>
      <c r="YZ14" s="28"/>
      <c r="ZA14" s="28"/>
      <c r="ZB14" s="28"/>
      <c r="ZC14" s="28"/>
      <c r="ZD14" s="28"/>
      <c r="ZE14" s="28"/>
      <c r="ZF14" s="28"/>
      <c r="ZG14" s="28"/>
      <c r="ZH14" s="28"/>
      <c r="ZI14" s="28"/>
      <c r="ZJ14" s="28"/>
      <c r="ZK14" s="28"/>
      <c r="ZL14" s="28"/>
      <c r="ZM14" s="28"/>
      <c r="ZN14" s="28"/>
      <c r="ZO14" s="28"/>
      <c r="ZP14" s="28"/>
      <c r="ZQ14" s="28"/>
      <c r="ZR14" s="28"/>
      <c r="ZS14" s="28"/>
      <c r="ZT14" s="28"/>
      <c r="ZU14" s="28"/>
      <c r="ZV14" s="28"/>
      <c r="ZW14" s="28"/>
      <c r="ZX14" s="28"/>
      <c r="ZY14" s="28"/>
      <c r="ZZ14" s="28"/>
      <c r="AAA14" s="28"/>
      <c r="AAB14" s="28"/>
      <c r="AAC14" s="28"/>
      <c r="AAD14" s="28"/>
      <c r="AAE14" s="28"/>
      <c r="AAF14" s="28"/>
      <c r="AAG14" s="28"/>
      <c r="AAH14" s="28"/>
      <c r="AAI14" s="28"/>
      <c r="AAJ14" s="28"/>
      <c r="AAK14" s="28"/>
      <c r="AAL14" s="28"/>
      <c r="AAM14" s="28"/>
      <c r="AAN14" s="28"/>
      <c r="AAO14" s="28"/>
      <c r="AAP14" s="28"/>
      <c r="AAQ14" s="28"/>
      <c r="AAR14" s="28"/>
      <c r="AAS14" s="28"/>
      <c r="AAT14" s="28"/>
      <c r="AAU14" s="28"/>
      <c r="AAV14" s="28"/>
      <c r="AAW14" s="28"/>
      <c r="AAX14" s="28"/>
      <c r="AAY14" s="28"/>
      <c r="AAZ14" s="28"/>
      <c r="ABA14" s="28"/>
      <c r="ABB14" s="28"/>
      <c r="ABC14" s="28"/>
      <c r="ABD14" s="28"/>
      <c r="ABE14" s="28"/>
      <c r="ABF14" s="28"/>
      <c r="ABG14" s="28"/>
      <c r="ABH14" s="28"/>
      <c r="ABI14" s="28"/>
      <c r="ABJ14" s="28"/>
      <c r="ABK14" s="28"/>
      <c r="ABL14" s="28"/>
      <c r="ABM14" s="28"/>
      <c r="ABN14" s="28"/>
      <c r="ABO14" s="28"/>
      <c r="ABP14" s="28"/>
      <c r="ABQ14" s="28"/>
      <c r="ABR14" s="28"/>
      <c r="ABS14" s="28"/>
      <c r="ABT14" s="28"/>
      <c r="ABU14" s="28"/>
      <c r="ABV14" s="28"/>
      <c r="ABW14" s="28"/>
      <c r="ABX14" s="28"/>
      <c r="ABY14" s="28"/>
      <c r="ABZ14" s="28"/>
      <c r="ACA14" s="28"/>
      <c r="ACB14" s="28"/>
      <c r="ACC14" s="28"/>
      <c r="ACD14" s="28"/>
      <c r="ACE14" s="28"/>
      <c r="ACF14" s="28"/>
      <c r="ACG14" s="28"/>
      <c r="ACH14" s="28"/>
      <c r="ACI14" s="28"/>
      <c r="ACJ14" s="28"/>
      <c r="ACK14" s="28"/>
      <c r="ACL14" s="28"/>
      <c r="ACM14" s="28"/>
      <c r="ACN14" s="28"/>
      <c r="ACO14" s="28"/>
      <c r="ACP14" s="28"/>
      <c r="ACQ14" s="28"/>
      <c r="ACR14" s="28"/>
      <c r="ACS14" s="28"/>
      <c r="ACT14" s="28"/>
      <c r="ACU14" s="28"/>
      <c r="ACV14" s="28"/>
      <c r="ACW14" s="28"/>
      <c r="ACX14" s="28"/>
      <c r="ACY14" s="28"/>
      <c r="ACZ14" s="28"/>
      <c r="ADA14" s="28"/>
      <c r="ADB14" s="28"/>
      <c r="ADC14" s="28"/>
      <c r="ADD14" s="28"/>
      <c r="ADE14" s="28"/>
      <c r="ADF14" s="28"/>
      <c r="ADG14" s="28"/>
      <c r="ADH14" s="28"/>
      <c r="ADI14" s="28"/>
      <c r="ADJ14" s="28"/>
      <c r="ADK14" s="28"/>
      <c r="ADL14" s="28"/>
      <c r="ADM14" s="28"/>
      <c r="ADN14" s="28"/>
      <c r="ADO14" s="28"/>
      <c r="ADP14" s="28"/>
      <c r="ADQ14" s="28"/>
      <c r="ADR14" s="28"/>
      <c r="ADS14" s="28"/>
      <c r="ADT14" s="28"/>
      <c r="ADU14" s="28"/>
      <c r="ADV14" s="28"/>
      <c r="ADW14" s="28"/>
      <c r="ADX14" s="28"/>
      <c r="ADY14" s="28"/>
      <c r="ADZ14" s="28"/>
      <c r="AEA14" s="28"/>
      <c r="AEB14" s="28"/>
      <c r="AEC14" s="28"/>
      <c r="AED14" s="28"/>
      <c r="AEE14" s="28"/>
      <c r="AEF14" s="28"/>
      <c r="AEG14" s="28"/>
      <c r="AEH14" s="28"/>
      <c r="AEI14" s="28"/>
      <c r="AEJ14" s="28"/>
      <c r="AEK14" s="28"/>
      <c r="AEL14" s="28"/>
      <c r="AEM14" s="28"/>
      <c r="AEN14" s="28"/>
      <c r="AEO14" s="28"/>
      <c r="AEP14" s="28"/>
      <c r="AEQ14" s="28"/>
      <c r="AER14" s="28"/>
      <c r="AES14" s="28"/>
      <c r="AET14" s="28"/>
      <c r="AEU14" s="28"/>
      <c r="AEV14" s="28"/>
      <c r="AEW14" s="28"/>
      <c r="AEX14" s="28"/>
      <c r="AEY14" s="28"/>
      <c r="AEZ14" s="28"/>
      <c r="AFA14" s="28"/>
      <c r="AFB14" s="28"/>
      <c r="AFC14" s="28"/>
      <c r="AFD14" s="28"/>
      <c r="AFE14" s="28"/>
      <c r="AFF14" s="28"/>
      <c r="AFG14" s="28"/>
      <c r="AFH14" s="28"/>
      <c r="AFI14" s="28"/>
      <c r="AFJ14" s="28"/>
      <c r="AFK14" s="28"/>
      <c r="AFL14" s="28"/>
      <c r="AFM14" s="28"/>
      <c r="AFN14" s="28"/>
      <c r="AFO14" s="28"/>
      <c r="AFP14" s="28"/>
      <c r="AFQ14" s="28"/>
      <c r="AFR14" s="28"/>
      <c r="AFS14" s="28"/>
      <c r="AFT14" s="28"/>
      <c r="AFU14" s="28"/>
      <c r="AFV14" s="28"/>
      <c r="AFW14" s="28"/>
      <c r="AFX14" s="28"/>
      <c r="AFY14" s="28"/>
      <c r="AFZ14" s="28"/>
      <c r="AGA14" s="28"/>
      <c r="AGB14" s="28"/>
      <c r="AGC14" s="28"/>
      <c r="AGD14" s="28"/>
      <c r="AGE14" s="28"/>
      <c r="AGF14" s="28"/>
      <c r="AGG14" s="28"/>
      <c r="AGH14" s="28"/>
      <c r="AGI14" s="28"/>
      <c r="AGJ14" s="28"/>
      <c r="AGK14" s="28"/>
      <c r="AGL14" s="28"/>
      <c r="AGM14" s="28"/>
      <c r="AGN14" s="28"/>
      <c r="AGO14" s="28"/>
      <c r="AGP14" s="28"/>
      <c r="AGQ14" s="28"/>
      <c r="AGR14" s="28"/>
      <c r="AGS14" s="28"/>
      <c r="AGT14" s="28"/>
      <c r="AGU14" s="28"/>
      <c r="AGV14" s="28"/>
      <c r="AGW14" s="28"/>
      <c r="AGX14" s="28"/>
      <c r="AGY14" s="28"/>
      <c r="AGZ14" s="28"/>
      <c r="AHA14" s="28"/>
      <c r="AHB14" s="28"/>
      <c r="AHC14" s="28"/>
      <c r="AHD14" s="28"/>
      <c r="AHE14" s="28"/>
      <c r="AHF14" s="28"/>
      <c r="AHG14" s="28"/>
      <c r="AHH14" s="28"/>
      <c r="AHI14" s="28"/>
      <c r="AHJ14" s="28"/>
      <c r="AHK14" s="28"/>
      <c r="AHL14" s="28"/>
      <c r="AHM14" s="28"/>
      <c r="AHN14" s="28"/>
      <c r="AHO14" s="28"/>
      <c r="AHP14" s="28"/>
      <c r="AHQ14" s="28"/>
      <c r="AHR14" s="28"/>
      <c r="AHS14" s="28"/>
      <c r="AHT14" s="28"/>
      <c r="AHU14" s="28"/>
      <c r="AHV14" s="28"/>
      <c r="AHW14" s="28"/>
      <c r="AHX14" s="28"/>
      <c r="AHY14" s="28"/>
      <c r="AHZ14" s="28"/>
      <c r="AIA14" s="28"/>
      <c r="AIB14" s="28"/>
      <c r="AIC14" s="28"/>
      <c r="AID14" s="28"/>
      <c r="AIE14" s="28"/>
      <c r="AIF14" s="28"/>
      <c r="AIG14" s="28"/>
      <c r="AIH14" s="28"/>
      <c r="AII14" s="28"/>
      <c r="AIJ14" s="28"/>
      <c r="AIK14" s="28"/>
      <c r="AIL14" s="28"/>
      <c r="AIM14" s="28"/>
      <c r="AIN14" s="28"/>
      <c r="AIO14" s="28"/>
      <c r="AIP14" s="28"/>
      <c r="AIQ14" s="28"/>
      <c r="AIR14" s="28"/>
      <c r="AIS14" s="28"/>
      <c r="AIT14" s="28"/>
      <c r="AIU14" s="28"/>
      <c r="AIV14" s="28"/>
      <c r="AIW14" s="28"/>
      <c r="AIX14" s="28"/>
      <c r="AIY14" s="28"/>
      <c r="AIZ14" s="28"/>
      <c r="AJA14" s="28"/>
      <c r="AJB14" s="28"/>
      <c r="AJC14" s="28"/>
      <c r="AJD14" s="28"/>
      <c r="AJE14" s="28"/>
      <c r="AJF14" s="28"/>
      <c r="AJG14" s="28"/>
      <c r="AJH14" s="28"/>
      <c r="AJI14" s="28"/>
      <c r="AJJ14" s="28"/>
      <c r="AJK14" s="28"/>
      <c r="AJL14" s="28"/>
      <c r="AJM14" s="28"/>
      <c r="AJN14" s="28"/>
      <c r="AJO14" s="28"/>
      <c r="AJP14" s="28"/>
      <c r="AJQ14" s="28"/>
      <c r="AJR14" s="28"/>
      <c r="AJS14" s="28"/>
      <c r="AJT14" s="28"/>
      <c r="AJU14" s="28"/>
      <c r="AJV14" s="28"/>
      <c r="AJW14" s="28"/>
      <c r="AJX14" s="28"/>
      <c r="AJY14" s="28"/>
      <c r="AJZ14" s="28"/>
      <c r="AKA14" s="28"/>
      <c r="AKB14" s="28"/>
      <c r="AKC14" s="28"/>
      <c r="AKD14" s="28"/>
      <c r="AKE14" s="28"/>
      <c r="AKF14" s="28"/>
      <c r="AKG14" s="28"/>
      <c r="AKH14" s="28"/>
      <c r="AKI14" s="28"/>
      <c r="AKJ14" s="28"/>
      <c r="AKK14" s="28"/>
      <c r="AKL14" s="28"/>
      <c r="AKM14" s="28"/>
      <c r="AKN14" s="28"/>
      <c r="AKO14" s="28"/>
      <c r="AKP14" s="28"/>
      <c r="AKQ14" s="28"/>
      <c r="AKR14" s="28"/>
      <c r="AKS14" s="28"/>
      <c r="AKT14" s="28"/>
      <c r="AKU14" s="28"/>
      <c r="AKV14" s="28"/>
      <c r="AKW14" s="28"/>
      <c r="AKX14" s="28"/>
      <c r="AKY14" s="28"/>
      <c r="AKZ14" s="28"/>
      <c r="ALA14" s="28"/>
      <c r="ALB14" s="28"/>
      <c r="ALC14" s="28"/>
      <c r="ALD14" s="28"/>
      <c r="ALE14" s="28"/>
      <c r="ALF14" s="28"/>
      <c r="ALG14" s="28"/>
      <c r="ALH14" s="28"/>
      <c r="ALI14" s="28"/>
      <c r="ALJ14" s="28"/>
      <c r="ALK14" s="28"/>
      <c r="ALL14" s="28"/>
      <c r="ALM14" s="28"/>
      <c r="ALN14" s="28"/>
      <c r="ALO14" s="28"/>
      <c r="ALP14" s="28"/>
      <c r="ALQ14" s="28"/>
      <c r="ALR14" s="28"/>
      <c r="ALS14" s="28"/>
      <c r="ALT14" s="28"/>
      <c r="ALU14" s="28"/>
      <c r="ALV14" s="28"/>
      <c r="ALW14" s="28"/>
      <c r="ALX14" s="28"/>
      <c r="ALY14" s="28"/>
      <c r="ALZ14" s="28"/>
      <c r="AMA14" s="28"/>
      <c r="AMB14" s="28"/>
      <c r="AMC14" s="28"/>
      <c r="AMD14" s="28"/>
      <c r="AME14" s="28"/>
      <c r="AMF14" s="28"/>
    </row>
    <row r="15" spans="1:1020">
      <c r="A15" s="18"/>
      <c r="B15" s="33"/>
      <c r="C15" s="26"/>
      <c r="D15" s="33"/>
      <c r="E15" s="26"/>
      <c r="F15" s="17"/>
      <c r="G15" s="17"/>
      <c r="H15" s="23"/>
      <c r="I15" s="23"/>
      <c r="J15" s="23"/>
      <c r="K15" s="32"/>
      <c r="L15" s="15"/>
      <c r="M15" s="27"/>
      <c r="N15" s="27"/>
      <c r="O15" s="27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  <c r="KH15" s="28"/>
      <c r="KI15" s="28"/>
      <c r="KJ15" s="28"/>
      <c r="KK15" s="28"/>
      <c r="KL15" s="28"/>
      <c r="KM15" s="28"/>
      <c r="KN15" s="28"/>
      <c r="KO15" s="28"/>
      <c r="KP15" s="28"/>
      <c r="KQ15" s="28"/>
      <c r="KR15" s="28"/>
      <c r="KS15" s="28"/>
      <c r="KT15" s="28"/>
      <c r="KU15" s="28"/>
      <c r="KV15" s="28"/>
      <c r="KW15" s="28"/>
      <c r="KX15" s="28"/>
      <c r="KY15" s="28"/>
      <c r="KZ15" s="28"/>
      <c r="LA15" s="28"/>
      <c r="LB15" s="28"/>
      <c r="LC15" s="28"/>
      <c r="LD15" s="28"/>
      <c r="LE15" s="28"/>
      <c r="LF15" s="28"/>
      <c r="LG15" s="28"/>
      <c r="LH15" s="28"/>
      <c r="LI15" s="28"/>
      <c r="LJ15" s="28"/>
      <c r="LK15" s="28"/>
      <c r="LL15" s="28"/>
      <c r="LM15" s="28"/>
      <c r="LN15" s="28"/>
      <c r="LO15" s="28"/>
      <c r="LP15" s="28"/>
      <c r="LQ15" s="28"/>
      <c r="LR15" s="28"/>
      <c r="LS15" s="28"/>
      <c r="LT15" s="28"/>
      <c r="LU15" s="28"/>
      <c r="LV15" s="28"/>
      <c r="LW15" s="28"/>
      <c r="LX15" s="28"/>
      <c r="LY15" s="28"/>
      <c r="LZ15" s="28"/>
      <c r="MA15" s="28"/>
      <c r="MB15" s="28"/>
      <c r="MC15" s="28"/>
      <c r="MD15" s="28"/>
      <c r="ME15" s="28"/>
      <c r="MF15" s="28"/>
      <c r="MG15" s="28"/>
      <c r="MH15" s="28"/>
      <c r="MI15" s="28"/>
      <c r="MJ15" s="28"/>
      <c r="MK15" s="28"/>
      <c r="ML15" s="28"/>
      <c r="MM15" s="28"/>
      <c r="MN15" s="28"/>
      <c r="MO15" s="28"/>
      <c r="MP15" s="28"/>
      <c r="MQ15" s="28"/>
      <c r="MR15" s="28"/>
      <c r="MS15" s="28"/>
      <c r="MT15" s="28"/>
      <c r="MU15" s="28"/>
      <c r="MV15" s="28"/>
      <c r="MW15" s="28"/>
      <c r="MX15" s="28"/>
      <c r="MY15" s="28"/>
      <c r="MZ15" s="28"/>
      <c r="NA15" s="28"/>
      <c r="NB15" s="28"/>
      <c r="NC15" s="28"/>
      <c r="ND15" s="28"/>
      <c r="NE15" s="28"/>
      <c r="NF15" s="28"/>
      <c r="NG15" s="28"/>
      <c r="NH15" s="28"/>
      <c r="NI15" s="28"/>
      <c r="NJ15" s="28"/>
      <c r="NK15" s="28"/>
      <c r="NL15" s="28"/>
      <c r="NM15" s="28"/>
      <c r="NN15" s="28"/>
      <c r="NO15" s="28"/>
      <c r="NP15" s="28"/>
      <c r="NQ15" s="28"/>
      <c r="NR15" s="28"/>
      <c r="NS15" s="28"/>
      <c r="NT15" s="28"/>
      <c r="NU15" s="28"/>
      <c r="NV15" s="28"/>
      <c r="NW15" s="28"/>
      <c r="NX15" s="28"/>
      <c r="NY15" s="28"/>
      <c r="NZ15" s="28"/>
      <c r="OA15" s="28"/>
      <c r="OB15" s="28"/>
      <c r="OC15" s="28"/>
      <c r="OD15" s="28"/>
      <c r="OE15" s="28"/>
      <c r="OF15" s="28"/>
      <c r="OG15" s="28"/>
      <c r="OH15" s="28"/>
      <c r="OI15" s="28"/>
      <c r="OJ15" s="28"/>
      <c r="OK15" s="28"/>
      <c r="OL15" s="28"/>
      <c r="OM15" s="28"/>
      <c r="ON15" s="28"/>
      <c r="OO15" s="28"/>
      <c r="OP15" s="28"/>
      <c r="OQ15" s="28"/>
      <c r="OR15" s="28"/>
      <c r="OS15" s="28"/>
      <c r="OT15" s="28"/>
      <c r="OU15" s="28"/>
      <c r="OV15" s="28"/>
      <c r="OW15" s="28"/>
      <c r="OX15" s="28"/>
      <c r="OY15" s="28"/>
      <c r="OZ15" s="28"/>
      <c r="PA15" s="28"/>
      <c r="PB15" s="28"/>
      <c r="PC15" s="28"/>
      <c r="PD15" s="28"/>
      <c r="PE15" s="28"/>
      <c r="PF15" s="28"/>
      <c r="PG15" s="28"/>
      <c r="PH15" s="28"/>
      <c r="PI15" s="28"/>
      <c r="PJ15" s="28"/>
      <c r="PK15" s="28"/>
      <c r="PL15" s="28"/>
      <c r="PM15" s="28"/>
      <c r="PN15" s="28"/>
      <c r="PO15" s="28"/>
      <c r="PP15" s="28"/>
      <c r="PQ15" s="28"/>
      <c r="PR15" s="28"/>
      <c r="PS15" s="28"/>
      <c r="PT15" s="28"/>
      <c r="PU15" s="28"/>
      <c r="PV15" s="28"/>
      <c r="PW15" s="28"/>
      <c r="PX15" s="28"/>
      <c r="PY15" s="28"/>
      <c r="PZ15" s="28"/>
      <c r="QA15" s="28"/>
      <c r="QB15" s="28"/>
      <c r="QC15" s="28"/>
      <c r="QD15" s="28"/>
      <c r="QE15" s="28"/>
      <c r="QF15" s="28"/>
      <c r="QG15" s="28"/>
      <c r="QH15" s="28"/>
      <c r="QI15" s="28"/>
      <c r="QJ15" s="28"/>
      <c r="QK15" s="28"/>
      <c r="QL15" s="28"/>
      <c r="QM15" s="28"/>
      <c r="QN15" s="28"/>
      <c r="QO15" s="28"/>
      <c r="QP15" s="28"/>
      <c r="QQ15" s="28"/>
      <c r="QR15" s="28"/>
      <c r="QS15" s="28"/>
      <c r="QT15" s="28"/>
      <c r="QU15" s="28"/>
      <c r="QV15" s="28"/>
      <c r="QW15" s="28"/>
      <c r="QX15" s="28"/>
      <c r="QY15" s="28"/>
      <c r="QZ15" s="28"/>
      <c r="RA15" s="28"/>
      <c r="RB15" s="28"/>
      <c r="RC15" s="28"/>
      <c r="RD15" s="28"/>
      <c r="RE15" s="28"/>
      <c r="RF15" s="28"/>
      <c r="RG15" s="28"/>
      <c r="RH15" s="28"/>
      <c r="RI15" s="28"/>
      <c r="RJ15" s="28"/>
      <c r="RK15" s="28"/>
      <c r="RL15" s="28"/>
      <c r="RM15" s="28"/>
      <c r="RN15" s="28"/>
      <c r="RO15" s="28"/>
      <c r="RP15" s="28"/>
      <c r="RQ15" s="28"/>
      <c r="RR15" s="28"/>
      <c r="RS15" s="28"/>
      <c r="RT15" s="28"/>
      <c r="RU15" s="28"/>
      <c r="RV15" s="28"/>
      <c r="RW15" s="28"/>
      <c r="RX15" s="28"/>
      <c r="RY15" s="28"/>
      <c r="RZ15" s="28"/>
      <c r="SA15" s="28"/>
      <c r="SB15" s="28"/>
      <c r="SC15" s="28"/>
      <c r="SD15" s="28"/>
      <c r="SE15" s="28"/>
      <c r="SF15" s="28"/>
      <c r="SG15" s="28"/>
      <c r="SH15" s="28"/>
      <c r="SI15" s="28"/>
      <c r="SJ15" s="28"/>
      <c r="SK15" s="28"/>
      <c r="SL15" s="28"/>
      <c r="SM15" s="28"/>
      <c r="SN15" s="28"/>
      <c r="SO15" s="28"/>
      <c r="SP15" s="28"/>
      <c r="SQ15" s="28"/>
      <c r="SR15" s="28"/>
      <c r="SS15" s="28"/>
      <c r="ST15" s="28"/>
      <c r="SU15" s="28"/>
      <c r="SV15" s="28"/>
      <c r="SW15" s="28"/>
      <c r="SX15" s="28"/>
      <c r="SY15" s="28"/>
      <c r="SZ15" s="28"/>
      <c r="TA15" s="28"/>
      <c r="TB15" s="28"/>
      <c r="TC15" s="28"/>
      <c r="TD15" s="28"/>
      <c r="TE15" s="28"/>
      <c r="TF15" s="28"/>
      <c r="TG15" s="28"/>
      <c r="TH15" s="28"/>
      <c r="TI15" s="28"/>
      <c r="TJ15" s="28"/>
      <c r="TK15" s="28"/>
      <c r="TL15" s="28"/>
      <c r="TM15" s="28"/>
      <c r="TN15" s="28"/>
      <c r="TO15" s="28"/>
      <c r="TP15" s="28"/>
      <c r="TQ15" s="28"/>
      <c r="TR15" s="28"/>
      <c r="TS15" s="28"/>
      <c r="TT15" s="28"/>
      <c r="TU15" s="28"/>
      <c r="TV15" s="28"/>
      <c r="TW15" s="28"/>
      <c r="TX15" s="28"/>
      <c r="TY15" s="28"/>
      <c r="TZ15" s="28"/>
      <c r="UA15" s="28"/>
      <c r="UB15" s="28"/>
      <c r="UC15" s="28"/>
      <c r="UD15" s="28"/>
      <c r="UE15" s="28"/>
      <c r="UF15" s="28"/>
      <c r="UG15" s="28"/>
      <c r="UH15" s="28"/>
      <c r="UI15" s="28"/>
      <c r="UJ15" s="28"/>
      <c r="UK15" s="28"/>
      <c r="UL15" s="28"/>
      <c r="UM15" s="28"/>
      <c r="UN15" s="28"/>
      <c r="UO15" s="28"/>
      <c r="UP15" s="28"/>
      <c r="UQ15" s="28"/>
      <c r="UR15" s="28"/>
      <c r="US15" s="28"/>
      <c r="UT15" s="28"/>
      <c r="UU15" s="28"/>
      <c r="UV15" s="28"/>
      <c r="UW15" s="28"/>
      <c r="UX15" s="28"/>
      <c r="UY15" s="28"/>
      <c r="UZ15" s="28"/>
      <c r="VA15" s="28"/>
      <c r="VB15" s="28"/>
      <c r="VC15" s="28"/>
      <c r="VD15" s="28"/>
      <c r="VE15" s="28"/>
      <c r="VF15" s="28"/>
      <c r="VG15" s="28"/>
      <c r="VH15" s="28"/>
      <c r="VI15" s="28"/>
      <c r="VJ15" s="28"/>
      <c r="VK15" s="28"/>
      <c r="VL15" s="28"/>
      <c r="VM15" s="28"/>
      <c r="VN15" s="28"/>
      <c r="VO15" s="28"/>
      <c r="VP15" s="28"/>
      <c r="VQ15" s="28"/>
      <c r="VR15" s="28"/>
      <c r="VS15" s="28"/>
      <c r="VT15" s="28"/>
      <c r="VU15" s="28"/>
      <c r="VV15" s="28"/>
      <c r="VW15" s="28"/>
      <c r="VX15" s="28"/>
      <c r="VY15" s="28"/>
      <c r="VZ15" s="28"/>
      <c r="WA15" s="28"/>
      <c r="WB15" s="28"/>
      <c r="WC15" s="28"/>
      <c r="WD15" s="28"/>
      <c r="WE15" s="28"/>
      <c r="WF15" s="28"/>
      <c r="WG15" s="28"/>
      <c r="WH15" s="28"/>
      <c r="WI15" s="28"/>
      <c r="WJ15" s="28"/>
      <c r="WK15" s="28"/>
      <c r="WL15" s="28"/>
      <c r="WM15" s="28"/>
      <c r="WN15" s="28"/>
      <c r="WO15" s="28"/>
      <c r="WP15" s="28"/>
      <c r="WQ15" s="28"/>
      <c r="WR15" s="28"/>
      <c r="WS15" s="28"/>
      <c r="WT15" s="28"/>
      <c r="WU15" s="28"/>
      <c r="WV15" s="28"/>
      <c r="WW15" s="28"/>
      <c r="WX15" s="28"/>
      <c r="WY15" s="28"/>
      <c r="WZ15" s="28"/>
      <c r="XA15" s="28"/>
      <c r="XB15" s="28"/>
      <c r="XC15" s="28"/>
      <c r="XD15" s="28"/>
      <c r="XE15" s="28"/>
      <c r="XF15" s="28"/>
      <c r="XG15" s="28"/>
      <c r="XH15" s="28"/>
      <c r="XI15" s="28"/>
      <c r="XJ15" s="28"/>
      <c r="XK15" s="28"/>
      <c r="XL15" s="28"/>
      <c r="XM15" s="28"/>
      <c r="XN15" s="28"/>
      <c r="XO15" s="28"/>
      <c r="XP15" s="28"/>
      <c r="XQ15" s="28"/>
      <c r="XR15" s="28"/>
      <c r="XS15" s="28"/>
      <c r="XT15" s="28"/>
      <c r="XU15" s="28"/>
      <c r="XV15" s="28"/>
      <c r="XW15" s="28"/>
      <c r="XX15" s="28"/>
      <c r="XY15" s="28"/>
      <c r="XZ15" s="28"/>
      <c r="YA15" s="28"/>
      <c r="YB15" s="28"/>
      <c r="YC15" s="28"/>
      <c r="YD15" s="28"/>
      <c r="YE15" s="28"/>
      <c r="YF15" s="28"/>
      <c r="YG15" s="28"/>
      <c r="YH15" s="28"/>
      <c r="YI15" s="28"/>
      <c r="YJ15" s="28"/>
      <c r="YK15" s="28"/>
      <c r="YL15" s="28"/>
      <c r="YM15" s="28"/>
      <c r="YN15" s="28"/>
      <c r="YO15" s="28"/>
      <c r="YP15" s="28"/>
      <c r="YQ15" s="28"/>
      <c r="YR15" s="28"/>
      <c r="YS15" s="28"/>
      <c r="YT15" s="28"/>
      <c r="YU15" s="28"/>
      <c r="YV15" s="28"/>
      <c r="YW15" s="28"/>
      <c r="YX15" s="28"/>
      <c r="YY15" s="28"/>
      <c r="YZ15" s="28"/>
      <c r="ZA15" s="28"/>
      <c r="ZB15" s="28"/>
      <c r="ZC15" s="28"/>
      <c r="ZD15" s="28"/>
      <c r="ZE15" s="28"/>
      <c r="ZF15" s="28"/>
      <c r="ZG15" s="28"/>
      <c r="ZH15" s="28"/>
      <c r="ZI15" s="28"/>
      <c r="ZJ15" s="28"/>
      <c r="ZK15" s="28"/>
      <c r="ZL15" s="28"/>
      <c r="ZM15" s="28"/>
      <c r="ZN15" s="28"/>
      <c r="ZO15" s="28"/>
      <c r="ZP15" s="28"/>
      <c r="ZQ15" s="28"/>
      <c r="ZR15" s="28"/>
      <c r="ZS15" s="28"/>
      <c r="ZT15" s="28"/>
      <c r="ZU15" s="28"/>
      <c r="ZV15" s="28"/>
      <c r="ZW15" s="28"/>
      <c r="ZX15" s="28"/>
      <c r="ZY15" s="28"/>
      <c r="ZZ15" s="28"/>
      <c r="AAA15" s="28"/>
      <c r="AAB15" s="28"/>
      <c r="AAC15" s="28"/>
      <c r="AAD15" s="28"/>
      <c r="AAE15" s="28"/>
      <c r="AAF15" s="28"/>
      <c r="AAG15" s="28"/>
      <c r="AAH15" s="28"/>
      <c r="AAI15" s="28"/>
      <c r="AAJ15" s="28"/>
      <c r="AAK15" s="28"/>
      <c r="AAL15" s="28"/>
      <c r="AAM15" s="28"/>
      <c r="AAN15" s="28"/>
      <c r="AAO15" s="28"/>
      <c r="AAP15" s="28"/>
      <c r="AAQ15" s="28"/>
      <c r="AAR15" s="28"/>
      <c r="AAS15" s="28"/>
      <c r="AAT15" s="28"/>
      <c r="AAU15" s="28"/>
      <c r="AAV15" s="28"/>
      <c r="AAW15" s="28"/>
      <c r="AAX15" s="28"/>
      <c r="AAY15" s="28"/>
      <c r="AAZ15" s="28"/>
      <c r="ABA15" s="28"/>
      <c r="ABB15" s="28"/>
      <c r="ABC15" s="28"/>
      <c r="ABD15" s="28"/>
      <c r="ABE15" s="28"/>
      <c r="ABF15" s="28"/>
      <c r="ABG15" s="28"/>
      <c r="ABH15" s="28"/>
      <c r="ABI15" s="28"/>
      <c r="ABJ15" s="28"/>
      <c r="ABK15" s="28"/>
      <c r="ABL15" s="28"/>
      <c r="ABM15" s="28"/>
      <c r="ABN15" s="28"/>
      <c r="ABO15" s="28"/>
      <c r="ABP15" s="28"/>
      <c r="ABQ15" s="28"/>
      <c r="ABR15" s="28"/>
      <c r="ABS15" s="28"/>
      <c r="ABT15" s="28"/>
      <c r="ABU15" s="28"/>
      <c r="ABV15" s="28"/>
      <c r="ABW15" s="28"/>
      <c r="ABX15" s="28"/>
      <c r="ABY15" s="28"/>
      <c r="ABZ15" s="28"/>
      <c r="ACA15" s="28"/>
      <c r="ACB15" s="28"/>
      <c r="ACC15" s="28"/>
      <c r="ACD15" s="28"/>
      <c r="ACE15" s="28"/>
      <c r="ACF15" s="28"/>
      <c r="ACG15" s="28"/>
      <c r="ACH15" s="28"/>
      <c r="ACI15" s="28"/>
      <c r="ACJ15" s="28"/>
      <c r="ACK15" s="28"/>
      <c r="ACL15" s="28"/>
      <c r="ACM15" s="28"/>
      <c r="ACN15" s="28"/>
      <c r="ACO15" s="28"/>
      <c r="ACP15" s="28"/>
      <c r="ACQ15" s="28"/>
      <c r="ACR15" s="28"/>
      <c r="ACS15" s="28"/>
      <c r="ACT15" s="28"/>
      <c r="ACU15" s="28"/>
      <c r="ACV15" s="28"/>
      <c r="ACW15" s="28"/>
      <c r="ACX15" s="28"/>
      <c r="ACY15" s="28"/>
      <c r="ACZ15" s="28"/>
      <c r="ADA15" s="28"/>
      <c r="ADB15" s="28"/>
      <c r="ADC15" s="28"/>
      <c r="ADD15" s="28"/>
      <c r="ADE15" s="28"/>
      <c r="ADF15" s="28"/>
      <c r="ADG15" s="28"/>
      <c r="ADH15" s="28"/>
      <c r="ADI15" s="28"/>
      <c r="ADJ15" s="28"/>
      <c r="ADK15" s="28"/>
      <c r="ADL15" s="28"/>
      <c r="ADM15" s="28"/>
      <c r="ADN15" s="28"/>
      <c r="ADO15" s="28"/>
      <c r="ADP15" s="28"/>
      <c r="ADQ15" s="28"/>
      <c r="ADR15" s="28"/>
      <c r="ADS15" s="28"/>
      <c r="ADT15" s="28"/>
      <c r="ADU15" s="28"/>
      <c r="ADV15" s="28"/>
      <c r="ADW15" s="28"/>
      <c r="ADX15" s="28"/>
      <c r="ADY15" s="28"/>
      <c r="ADZ15" s="28"/>
      <c r="AEA15" s="28"/>
      <c r="AEB15" s="28"/>
      <c r="AEC15" s="28"/>
      <c r="AED15" s="28"/>
      <c r="AEE15" s="28"/>
      <c r="AEF15" s="28"/>
      <c r="AEG15" s="28"/>
      <c r="AEH15" s="28"/>
      <c r="AEI15" s="28"/>
      <c r="AEJ15" s="28"/>
      <c r="AEK15" s="28"/>
      <c r="AEL15" s="28"/>
      <c r="AEM15" s="28"/>
      <c r="AEN15" s="28"/>
      <c r="AEO15" s="28"/>
      <c r="AEP15" s="28"/>
      <c r="AEQ15" s="28"/>
      <c r="AER15" s="28"/>
      <c r="AES15" s="28"/>
      <c r="AET15" s="28"/>
      <c r="AEU15" s="28"/>
      <c r="AEV15" s="28"/>
      <c r="AEW15" s="28"/>
      <c r="AEX15" s="28"/>
      <c r="AEY15" s="28"/>
      <c r="AEZ15" s="28"/>
      <c r="AFA15" s="28"/>
      <c r="AFB15" s="28"/>
      <c r="AFC15" s="28"/>
      <c r="AFD15" s="28"/>
      <c r="AFE15" s="28"/>
      <c r="AFF15" s="28"/>
      <c r="AFG15" s="28"/>
      <c r="AFH15" s="28"/>
      <c r="AFI15" s="28"/>
      <c r="AFJ15" s="28"/>
      <c r="AFK15" s="28"/>
      <c r="AFL15" s="28"/>
      <c r="AFM15" s="28"/>
      <c r="AFN15" s="28"/>
      <c r="AFO15" s="28"/>
      <c r="AFP15" s="28"/>
      <c r="AFQ15" s="28"/>
      <c r="AFR15" s="28"/>
      <c r="AFS15" s="28"/>
      <c r="AFT15" s="28"/>
      <c r="AFU15" s="28"/>
      <c r="AFV15" s="28"/>
      <c r="AFW15" s="28"/>
      <c r="AFX15" s="28"/>
      <c r="AFY15" s="28"/>
      <c r="AFZ15" s="28"/>
      <c r="AGA15" s="28"/>
      <c r="AGB15" s="28"/>
      <c r="AGC15" s="28"/>
      <c r="AGD15" s="28"/>
      <c r="AGE15" s="28"/>
      <c r="AGF15" s="28"/>
      <c r="AGG15" s="28"/>
      <c r="AGH15" s="28"/>
      <c r="AGI15" s="28"/>
      <c r="AGJ15" s="28"/>
      <c r="AGK15" s="28"/>
      <c r="AGL15" s="28"/>
      <c r="AGM15" s="28"/>
      <c r="AGN15" s="28"/>
      <c r="AGO15" s="28"/>
      <c r="AGP15" s="28"/>
      <c r="AGQ15" s="28"/>
      <c r="AGR15" s="28"/>
      <c r="AGS15" s="28"/>
      <c r="AGT15" s="28"/>
      <c r="AGU15" s="28"/>
      <c r="AGV15" s="28"/>
      <c r="AGW15" s="28"/>
      <c r="AGX15" s="28"/>
      <c r="AGY15" s="28"/>
      <c r="AGZ15" s="28"/>
      <c r="AHA15" s="28"/>
      <c r="AHB15" s="28"/>
      <c r="AHC15" s="28"/>
      <c r="AHD15" s="28"/>
      <c r="AHE15" s="28"/>
      <c r="AHF15" s="28"/>
      <c r="AHG15" s="28"/>
      <c r="AHH15" s="28"/>
      <c r="AHI15" s="28"/>
      <c r="AHJ15" s="28"/>
      <c r="AHK15" s="28"/>
      <c r="AHL15" s="28"/>
      <c r="AHM15" s="28"/>
      <c r="AHN15" s="28"/>
      <c r="AHO15" s="28"/>
      <c r="AHP15" s="28"/>
      <c r="AHQ15" s="28"/>
      <c r="AHR15" s="28"/>
      <c r="AHS15" s="28"/>
      <c r="AHT15" s="28"/>
      <c r="AHU15" s="28"/>
      <c r="AHV15" s="28"/>
      <c r="AHW15" s="28"/>
      <c r="AHX15" s="28"/>
      <c r="AHY15" s="28"/>
      <c r="AHZ15" s="28"/>
      <c r="AIA15" s="28"/>
      <c r="AIB15" s="28"/>
      <c r="AIC15" s="28"/>
      <c r="AID15" s="28"/>
      <c r="AIE15" s="28"/>
      <c r="AIF15" s="28"/>
      <c r="AIG15" s="28"/>
      <c r="AIH15" s="28"/>
      <c r="AII15" s="28"/>
      <c r="AIJ15" s="28"/>
      <c r="AIK15" s="28"/>
      <c r="AIL15" s="28"/>
      <c r="AIM15" s="28"/>
      <c r="AIN15" s="28"/>
      <c r="AIO15" s="28"/>
      <c r="AIP15" s="28"/>
      <c r="AIQ15" s="28"/>
      <c r="AIR15" s="28"/>
      <c r="AIS15" s="28"/>
      <c r="AIT15" s="28"/>
      <c r="AIU15" s="28"/>
      <c r="AIV15" s="28"/>
      <c r="AIW15" s="28"/>
      <c r="AIX15" s="28"/>
      <c r="AIY15" s="28"/>
      <c r="AIZ15" s="28"/>
      <c r="AJA15" s="28"/>
      <c r="AJB15" s="28"/>
      <c r="AJC15" s="28"/>
      <c r="AJD15" s="28"/>
      <c r="AJE15" s="28"/>
      <c r="AJF15" s="28"/>
      <c r="AJG15" s="28"/>
      <c r="AJH15" s="28"/>
      <c r="AJI15" s="28"/>
      <c r="AJJ15" s="28"/>
      <c r="AJK15" s="28"/>
      <c r="AJL15" s="28"/>
      <c r="AJM15" s="28"/>
      <c r="AJN15" s="28"/>
      <c r="AJO15" s="28"/>
      <c r="AJP15" s="28"/>
      <c r="AJQ15" s="28"/>
      <c r="AJR15" s="28"/>
      <c r="AJS15" s="28"/>
      <c r="AJT15" s="28"/>
      <c r="AJU15" s="28"/>
      <c r="AJV15" s="28"/>
      <c r="AJW15" s="28"/>
      <c r="AJX15" s="28"/>
      <c r="AJY15" s="28"/>
      <c r="AJZ15" s="28"/>
      <c r="AKA15" s="28"/>
      <c r="AKB15" s="28"/>
      <c r="AKC15" s="28"/>
      <c r="AKD15" s="28"/>
      <c r="AKE15" s="28"/>
      <c r="AKF15" s="28"/>
      <c r="AKG15" s="28"/>
      <c r="AKH15" s="28"/>
      <c r="AKI15" s="28"/>
      <c r="AKJ15" s="28"/>
      <c r="AKK15" s="28"/>
      <c r="AKL15" s="28"/>
      <c r="AKM15" s="28"/>
      <c r="AKN15" s="28"/>
      <c r="AKO15" s="28"/>
      <c r="AKP15" s="28"/>
      <c r="AKQ15" s="28"/>
      <c r="AKR15" s="28"/>
      <c r="AKS15" s="28"/>
      <c r="AKT15" s="28"/>
      <c r="AKU15" s="28"/>
      <c r="AKV15" s="28"/>
      <c r="AKW15" s="28"/>
      <c r="AKX15" s="28"/>
      <c r="AKY15" s="28"/>
      <c r="AKZ15" s="28"/>
      <c r="ALA15" s="28"/>
      <c r="ALB15" s="28"/>
      <c r="ALC15" s="28"/>
      <c r="ALD15" s="28"/>
      <c r="ALE15" s="28"/>
      <c r="ALF15" s="28"/>
      <c r="ALG15" s="28"/>
      <c r="ALH15" s="28"/>
      <c r="ALI15" s="28"/>
      <c r="ALJ15" s="28"/>
      <c r="ALK15" s="28"/>
      <c r="ALL15" s="28"/>
      <c r="ALM15" s="28"/>
      <c r="ALN15" s="28"/>
      <c r="ALO15" s="28"/>
      <c r="ALP15" s="28"/>
      <c r="ALQ15" s="28"/>
      <c r="ALR15" s="28"/>
      <c r="ALS15" s="28"/>
      <c r="ALT15" s="28"/>
      <c r="ALU15" s="28"/>
      <c r="ALV15" s="28"/>
      <c r="ALW15" s="28"/>
      <c r="ALX15" s="28"/>
      <c r="ALY15" s="28"/>
      <c r="ALZ15" s="28"/>
      <c r="AMA15" s="28"/>
      <c r="AMB15" s="28"/>
      <c r="AMC15" s="28"/>
      <c r="AMD15" s="28"/>
      <c r="AME15" s="28"/>
      <c r="AMF15" s="28"/>
    </row>
    <row r="16" spans="1:1020">
      <c r="A16" s="18"/>
      <c r="B16" s="19" t="s">
        <v>17</v>
      </c>
      <c r="C16" s="26"/>
      <c r="D16" s="19"/>
      <c r="E16" s="26"/>
      <c r="F16" s="17"/>
      <c r="G16" s="17"/>
      <c r="H16" s="23">
        <f>C16-C34</f>
        <v>-1</v>
      </c>
      <c r="I16" s="23">
        <f>D16-D34</f>
        <v>0</v>
      </c>
      <c r="J16" s="23">
        <f>E16-E34</f>
        <v>-1</v>
      </c>
      <c r="K16" s="30"/>
      <c r="L16" s="15"/>
      <c r="M16" s="27"/>
      <c r="N16" s="27"/>
      <c r="O16" s="27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  <c r="JV16" s="28"/>
      <c r="JW16" s="28"/>
      <c r="JX16" s="28"/>
      <c r="JY16" s="28"/>
      <c r="JZ16" s="28"/>
      <c r="KA16" s="28"/>
      <c r="KB16" s="28"/>
      <c r="KC16" s="28"/>
      <c r="KD16" s="28"/>
      <c r="KE16" s="28"/>
      <c r="KF16" s="28"/>
      <c r="KG16" s="28"/>
      <c r="KH16" s="28"/>
      <c r="KI16" s="28"/>
      <c r="KJ16" s="28"/>
      <c r="KK16" s="28"/>
      <c r="KL16" s="28"/>
      <c r="KM16" s="28"/>
      <c r="KN16" s="28"/>
      <c r="KO16" s="28"/>
      <c r="KP16" s="28"/>
      <c r="KQ16" s="28"/>
      <c r="KR16" s="28"/>
      <c r="KS16" s="28"/>
      <c r="KT16" s="28"/>
      <c r="KU16" s="28"/>
      <c r="KV16" s="28"/>
      <c r="KW16" s="28"/>
      <c r="KX16" s="28"/>
      <c r="KY16" s="28"/>
      <c r="KZ16" s="28"/>
      <c r="LA16" s="28"/>
      <c r="LB16" s="28"/>
      <c r="LC16" s="28"/>
      <c r="LD16" s="28"/>
      <c r="LE16" s="28"/>
      <c r="LF16" s="28"/>
      <c r="LG16" s="28"/>
      <c r="LH16" s="28"/>
      <c r="LI16" s="28"/>
      <c r="LJ16" s="28"/>
      <c r="LK16" s="28"/>
      <c r="LL16" s="28"/>
      <c r="LM16" s="28"/>
      <c r="LN16" s="28"/>
      <c r="LO16" s="28"/>
      <c r="LP16" s="28"/>
      <c r="LQ16" s="28"/>
      <c r="LR16" s="28"/>
      <c r="LS16" s="28"/>
      <c r="LT16" s="28"/>
      <c r="LU16" s="28"/>
      <c r="LV16" s="28"/>
      <c r="LW16" s="28"/>
      <c r="LX16" s="28"/>
      <c r="LY16" s="28"/>
      <c r="LZ16" s="28"/>
      <c r="MA16" s="28"/>
      <c r="MB16" s="28"/>
      <c r="MC16" s="28"/>
      <c r="MD16" s="28"/>
      <c r="ME16" s="28"/>
      <c r="MF16" s="28"/>
      <c r="MG16" s="28"/>
      <c r="MH16" s="28"/>
      <c r="MI16" s="28"/>
      <c r="MJ16" s="28"/>
      <c r="MK16" s="28"/>
      <c r="ML16" s="28"/>
      <c r="MM16" s="28"/>
      <c r="MN16" s="28"/>
      <c r="MO16" s="28"/>
      <c r="MP16" s="28"/>
      <c r="MQ16" s="28"/>
      <c r="MR16" s="28"/>
      <c r="MS16" s="28"/>
      <c r="MT16" s="28"/>
      <c r="MU16" s="28"/>
      <c r="MV16" s="28"/>
      <c r="MW16" s="28"/>
      <c r="MX16" s="28"/>
      <c r="MY16" s="28"/>
      <c r="MZ16" s="28"/>
      <c r="NA16" s="28"/>
      <c r="NB16" s="28"/>
      <c r="NC16" s="28"/>
      <c r="ND16" s="28"/>
      <c r="NE16" s="28"/>
      <c r="NF16" s="28"/>
      <c r="NG16" s="28"/>
      <c r="NH16" s="28"/>
      <c r="NI16" s="28"/>
      <c r="NJ16" s="28"/>
      <c r="NK16" s="28"/>
      <c r="NL16" s="28"/>
      <c r="NM16" s="28"/>
      <c r="NN16" s="28"/>
      <c r="NO16" s="28"/>
      <c r="NP16" s="28"/>
      <c r="NQ16" s="28"/>
      <c r="NR16" s="28"/>
      <c r="NS16" s="28"/>
      <c r="NT16" s="28"/>
      <c r="NU16" s="28"/>
      <c r="NV16" s="28"/>
      <c r="NW16" s="28"/>
      <c r="NX16" s="28"/>
      <c r="NY16" s="28"/>
      <c r="NZ16" s="28"/>
      <c r="OA16" s="28"/>
      <c r="OB16" s="28"/>
      <c r="OC16" s="28"/>
      <c r="OD16" s="28"/>
      <c r="OE16" s="28"/>
      <c r="OF16" s="28"/>
      <c r="OG16" s="28"/>
      <c r="OH16" s="28"/>
      <c r="OI16" s="28"/>
      <c r="OJ16" s="28"/>
      <c r="OK16" s="28"/>
      <c r="OL16" s="28"/>
      <c r="OM16" s="28"/>
      <c r="ON16" s="28"/>
      <c r="OO16" s="28"/>
      <c r="OP16" s="28"/>
      <c r="OQ16" s="28"/>
      <c r="OR16" s="28"/>
      <c r="OS16" s="28"/>
      <c r="OT16" s="28"/>
      <c r="OU16" s="28"/>
      <c r="OV16" s="28"/>
      <c r="OW16" s="28"/>
      <c r="OX16" s="28"/>
      <c r="OY16" s="28"/>
      <c r="OZ16" s="28"/>
      <c r="PA16" s="28"/>
      <c r="PB16" s="28"/>
      <c r="PC16" s="28"/>
      <c r="PD16" s="28"/>
      <c r="PE16" s="28"/>
      <c r="PF16" s="28"/>
      <c r="PG16" s="28"/>
      <c r="PH16" s="28"/>
      <c r="PI16" s="28"/>
      <c r="PJ16" s="28"/>
      <c r="PK16" s="28"/>
      <c r="PL16" s="28"/>
      <c r="PM16" s="28"/>
      <c r="PN16" s="28"/>
      <c r="PO16" s="28"/>
      <c r="PP16" s="28"/>
      <c r="PQ16" s="28"/>
      <c r="PR16" s="28"/>
      <c r="PS16" s="28"/>
      <c r="PT16" s="28"/>
      <c r="PU16" s="28"/>
      <c r="PV16" s="28"/>
      <c r="PW16" s="28"/>
      <c r="PX16" s="28"/>
      <c r="PY16" s="28"/>
      <c r="PZ16" s="28"/>
      <c r="QA16" s="28"/>
      <c r="QB16" s="28"/>
      <c r="QC16" s="28"/>
      <c r="QD16" s="28"/>
      <c r="QE16" s="28"/>
      <c r="QF16" s="28"/>
      <c r="QG16" s="28"/>
      <c r="QH16" s="28"/>
      <c r="QI16" s="28"/>
      <c r="QJ16" s="28"/>
      <c r="QK16" s="28"/>
      <c r="QL16" s="28"/>
      <c r="QM16" s="28"/>
      <c r="QN16" s="28"/>
      <c r="QO16" s="28"/>
      <c r="QP16" s="28"/>
      <c r="QQ16" s="28"/>
      <c r="QR16" s="28"/>
      <c r="QS16" s="28"/>
      <c r="QT16" s="28"/>
      <c r="QU16" s="28"/>
      <c r="QV16" s="28"/>
      <c r="QW16" s="28"/>
      <c r="QX16" s="28"/>
      <c r="QY16" s="28"/>
      <c r="QZ16" s="28"/>
      <c r="RA16" s="28"/>
      <c r="RB16" s="28"/>
      <c r="RC16" s="28"/>
      <c r="RD16" s="28"/>
      <c r="RE16" s="28"/>
      <c r="RF16" s="28"/>
      <c r="RG16" s="28"/>
      <c r="RH16" s="28"/>
      <c r="RI16" s="28"/>
      <c r="RJ16" s="28"/>
      <c r="RK16" s="28"/>
      <c r="RL16" s="28"/>
      <c r="RM16" s="28"/>
      <c r="RN16" s="28"/>
      <c r="RO16" s="28"/>
      <c r="RP16" s="28"/>
      <c r="RQ16" s="28"/>
      <c r="RR16" s="28"/>
      <c r="RS16" s="28"/>
      <c r="RT16" s="28"/>
      <c r="RU16" s="28"/>
      <c r="RV16" s="28"/>
      <c r="RW16" s="28"/>
      <c r="RX16" s="28"/>
      <c r="RY16" s="28"/>
      <c r="RZ16" s="28"/>
      <c r="SA16" s="28"/>
      <c r="SB16" s="28"/>
      <c r="SC16" s="28"/>
      <c r="SD16" s="28"/>
      <c r="SE16" s="28"/>
      <c r="SF16" s="28"/>
      <c r="SG16" s="28"/>
      <c r="SH16" s="28"/>
      <c r="SI16" s="28"/>
      <c r="SJ16" s="28"/>
      <c r="SK16" s="28"/>
      <c r="SL16" s="28"/>
      <c r="SM16" s="28"/>
      <c r="SN16" s="28"/>
      <c r="SO16" s="28"/>
      <c r="SP16" s="28"/>
      <c r="SQ16" s="28"/>
      <c r="SR16" s="28"/>
      <c r="SS16" s="28"/>
      <c r="ST16" s="28"/>
      <c r="SU16" s="28"/>
      <c r="SV16" s="28"/>
      <c r="SW16" s="28"/>
      <c r="SX16" s="28"/>
      <c r="SY16" s="28"/>
      <c r="SZ16" s="28"/>
      <c r="TA16" s="28"/>
      <c r="TB16" s="28"/>
      <c r="TC16" s="28"/>
      <c r="TD16" s="28"/>
      <c r="TE16" s="28"/>
      <c r="TF16" s="28"/>
      <c r="TG16" s="28"/>
      <c r="TH16" s="28"/>
      <c r="TI16" s="28"/>
      <c r="TJ16" s="28"/>
      <c r="TK16" s="28"/>
      <c r="TL16" s="28"/>
      <c r="TM16" s="28"/>
      <c r="TN16" s="28"/>
      <c r="TO16" s="28"/>
      <c r="TP16" s="28"/>
      <c r="TQ16" s="28"/>
      <c r="TR16" s="28"/>
      <c r="TS16" s="28"/>
      <c r="TT16" s="28"/>
      <c r="TU16" s="28"/>
      <c r="TV16" s="28"/>
      <c r="TW16" s="28"/>
      <c r="TX16" s="28"/>
      <c r="TY16" s="28"/>
      <c r="TZ16" s="28"/>
      <c r="UA16" s="28"/>
      <c r="UB16" s="28"/>
      <c r="UC16" s="28"/>
      <c r="UD16" s="28"/>
      <c r="UE16" s="28"/>
      <c r="UF16" s="28"/>
      <c r="UG16" s="28"/>
      <c r="UH16" s="28"/>
      <c r="UI16" s="28"/>
      <c r="UJ16" s="28"/>
      <c r="UK16" s="28"/>
      <c r="UL16" s="28"/>
      <c r="UM16" s="28"/>
      <c r="UN16" s="28"/>
      <c r="UO16" s="28"/>
      <c r="UP16" s="28"/>
      <c r="UQ16" s="28"/>
      <c r="UR16" s="28"/>
      <c r="US16" s="28"/>
      <c r="UT16" s="28"/>
      <c r="UU16" s="28"/>
      <c r="UV16" s="28"/>
      <c r="UW16" s="28"/>
      <c r="UX16" s="28"/>
      <c r="UY16" s="28"/>
      <c r="UZ16" s="28"/>
      <c r="VA16" s="28"/>
      <c r="VB16" s="28"/>
      <c r="VC16" s="28"/>
      <c r="VD16" s="28"/>
      <c r="VE16" s="28"/>
      <c r="VF16" s="28"/>
      <c r="VG16" s="28"/>
      <c r="VH16" s="28"/>
      <c r="VI16" s="28"/>
      <c r="VJ16" s="28"/>
      <c r="VK16" s="28"/>
      <c r="VL16" s="28"/>
      <c r="VM16" s="28"/>
      <c r="VN16" s="28"/>
      <c r="VO16" s="28"/>
      <c r="VP16" s="28"/>
      <c r="VQ16" s="28"/>
      <c r="VR16" s="28"/>
      <c r="VS16" s="28"/>
      <c r="VT16" s="28"/>
      <c r="VU16" s="28"/>
      <c r="VV16" s="28"/>
      <c r="VW16" s="28"/>
      <c r="VX16" s="28"/>
      <c r="VY16" s="28"/>
      <c r="VZ16" s="28"/>
      <c r="WA16" s="28"/>
      <c r="WB16" s="28"/>
      <c r="WC16" s="28"/>
      <c r="WD16" s="28"/>
      <c r="WE16" s="28"/>
      <c r="WF16" s="28"/>
      <c r="WG16" s="28"/>
      <c r="WH16" s="28"/>
      <c r="WI16" s="28"/>
      <c r="WJ16" s="28"/>
      <c r="WK16" s="28"/>
      <c r="WL16" s="28"/>
      <c r="WM16" s="28"/>
      <c r="WN16" s="28"/>
      <c r="WO16" s="28"/>
      <c r="WP16" s="28"/>
      <c r="WQ16" s="28"/>
      <c r="WR16" s="28"/>
      <c r="WS16" s="28"/>
      <c r="WT16" s="28"/>
      <c r="WU16" s="28"/>
      <c r="WV16" s="28"/>
      <c r="WW16" s="28"/>
      <c r="WX16" s="28"/>
      <c r="WY16" s="28"/>
      <c r="WZ16" s="28"/>
      <c r="XA16" s="28"/>
      <c r="XB16" s="28"/>
      <c r="XC16" s="28"/>
      <c r="XD16" s="28"/>
      <c r="XE16" s="28"/>
      <c r="XF16" s="28"/>
      <c r="XG16" s="28"/>
      <c r="XH16" s="28"/>
      <c r="XI16" s="28"/>
      <c r="XJ16" s="28"/>
      <c r="XK16" s="28"/>
      <c r="XL16" s="28"/>
      <c r="XM16" s="28"/>
      <c r="XN16" s="28"/>
      <c r="XO16" s="28"/>
      <c r="XP16" s="28"/>
      <c r="XQ16" s="28"/>
      <c r="XR16" s="28"/>
      <c r="XS16" s="28"/>
      <c r="XT16" s="28"/>
      <c r="XU16" s="28"/>
      <c r="XV16" s="28"/>
      <c r="XW16" s="28"/>
      <c r="XX16" s="28"/>
      <c r="XY16" s="28"/>
      <c r="XZ16" s="28"/>
      <c r="YA16" s="28"/>
      <c r="YB16" s="28"/>
      <c r="YC16" s="28"/>
      <c r="YD16" s="28"/>
      <c r="YE16" s="28"/>
      <c r="YF16" s="28"/>
      <c r="YG16" s="28"/>
      <c r="YH16" s="28"/>
      <c r="YI16" s="28"/>
      <c r="YJ16" s="28"/>
      <c r="YK16" s="28"/>
      <c r="YL16" s="28"/>
      <c r="YM16" s="28"/>
      <c r="YN16" s="28"/>
      <c r="YO16" s="28"/>
      <c r="YP16" s="28"/>
      <c r="YQ16" s="28"/>
      <c r="YR16" s="28"/>
      <c r="YS16" s="28"/>
      <c r="YT16" s="28"/>
      <c r="YU16" s="28"/>
      <c r="YV16" s="28"/>
      <c r="YW16" s="28"/>
      <c r="YX16" s="28"/>
      <c r="YY16" s="28"/>
      <c r="YZ16" s="28"/>
      <c r="ZA16" s="28"/>
      <c r="ZB16" s="28"/>
      <c r="ZC16" s="28"/>
      <c r="ZD16" s="28"/>
      <c r="ZE16" s="28"/>
      <c r="ZF16" s="28"/>
      <c r="ZG16" s="28"/>
      <c r="ZH16" s="28"/>
      <c r="ZI16" s="28"/>
      <c r="ZJ16" s="28"/>
      <c r="ZK16" s="28"/>
      <c r="ZL16" s="28"/>
      <c r="ZM16" s="28"/>
      <c r="ZN16" s="28"/>
      <c r="ZO16" s="28"/>
      <c r="ZP16" s="28"/>
      <c r="ZQ16" s="28"/>
      <c r="ZR16" s="28"/>
      <c r="ZS16" s="28"/>
      <c r="ZT16" s="28"/>
      <c r="ZU16" s="28"/>
      <c r="ZV16" s="28"/>
      <c r="ZW16" s="28"/>
      <c r="ZX16" s="28"/>
      <c r="ZY16" s="28"/>
      <c r="ZZ16" s="28"/>
      <c r="AAA16" s="28"/>
      <c r="AAB16" s="28"/>
      <c r="AAC16" s="28"/>
      <c r="AAD16" s="28"/>
      <c r="AAE16" s="28"/>
      <c r="AAF16" s="28"/>
      <c r="AAG16" s="28"/>
      <c r="AAH16" s="28"/>
      <c r="AAI16" s="28"/>
      <c r="AAJ16" s="28"/>
      <c r="AAK16" s="28"/>
      <c r="AAL16" s="28"/>
      <c r="AAM16" s="28"/>
      <c r="AAN16" s="28"/>
      <c r="AAO16" s="28"/>
      <c r="AAP16" s="28"/>
      <c r="AAQ16" s="28"/>
      <c r="AAR16" s="28"/>
      <c r="AAS16" s="28"/>
      <c r="AAT16" s="28"/>
      <c r="AAU16" s="28"/>
      <c r="AAV16" s="28"/>
      <c r="AAW16" s="28"/>
      <c r="AAX16" s="28"/>
      <c r="AAY16" s="28"/>
      <c r="AAZ16" s="28"/>
      <c r="ABA16" s="28"/>
      <c r="ABB16" s="28"/>
      <c r="ABC16" s="28"/>
      <c r="ABD16" s="28"/>
      <c r="ABE16" s="28"/>
      <c r="ABF16" s="28"/>
      <c r="ABG16" s="28"/>
      <c r="ABH16" s="28"/>
      <c r="ABI16" s="28"/>
      <c r="ABJ16" s="28"/>
      <c r="ABK16" s="28"/>
      <c r="ABL16" s="28"/>
      <c r="ABM16" s="28"/>
      <c r="ABN16" s="28"/>
      <c r="ABO16" s="28"/>
      <c r="ABP16" s="28"/>
      <c r="ABQ16" s="28"/>
      <c r="ABR16" s="28"/>
      <c r="ABS16" s="28"/>
      <c r="ABT16" s="28"/>
      <c r="ABU16" s="28"/>
      <c r="ABV16" s="28"/>
      <c r="ABW16" s="28"/>
      <c r="ABX16" s="28"/>
      <c r="ABY16" s="28"/>
      <c r="ABZ16" s="28"/>
      <c r="ACA16" s="28"/>
      <c r="ACB16" s="28"/>
      <c r="ACC16" s="28"/>
      <c r="ACD16" s="28"/>
      <c r="ACE16" s="28"/>
      <c r="ACF16" s="28"/>
      <c r="ACG16" s="28"/>
      <c r="ACH16" s="28"/>
      <c r="ACI16" s="28"/>
      <c r="ACJ16" s="28"/>
      <c r="ACK16" s="28"/>
      <c r="ACL16" s="28"/>
      <c r="ACM16" s="28"/>
      <c r="ACN16" s="28"/>
      <c r="ACO16" s="28"/>
      <c r="ACP16" s="28"/>
      <c r="ACQ16" s="28"/>
      <c r="ACR16" s="28"/>
      <c r="ACS16" s="28"/>
      <c r="ACT16" s="28"/>
      <c r="ACU16" s="28"/>
      <c r="ACV16" s="28"/>
      <c r="ACW16" s="28"/>
      <c r="ACX16" s="28"/>
      <c r="ACY16" s="28"/>
      <c r="ACZ16" s="28"/>
      <c r="ADA16" s="28"/>
      <c r="ADB16" s="28"/>
      <c r="ADC16" s="28"/>
      <c r="ADD16" s="28"/>
      <c r="ADE16" s="28"/>
      <c r="ADF16" s="28"/>
      <c r="ADG16" s="28"/>
      <c r="ADH16" s="28"/>
      <c r="ADI16" s="28"/>
      <c r="ADJ16" s="28"/>
      <c r="ADK16" s="28"/>
      <c r="ADL16" s="28"/>
      <c r="ADM16" s="28"/>
      <c r="ADN16" s="28"/>
      <c r="ADO16" s="28"/>
      <c r="ADP16" s="28"/>
      <c r="ADQ16" s="28"/>
      <c r="ADR16" s="28"/>
      <c r="ADS16" s="28"/>
      <c r="ADT16" s="28"/>
      <c r="ADU16" s="28"/>
      <c r="ADV16" s="28"/>
      <c r="ADW16" s="28"/>
      <c r="ADX16" s="28"/>
      <c r="ADY16" s="28"/>
      <c r="ADZ16" s="28"/>
      <c r="AEA16" s="28"/>
      <c r="AEB16" s="28"/>
      <c r="AEC16" s="28"/>
      <c r="AED16" s="28"/>
      <c r="AEE16" s="28"/>
      <c r="AEF16" s="28"/>
      <c r="AEG16" s="28"/>
      <c r="AEH16" s="28"/>
      <c r="AEI16" s="28"/>
      <c r="AEJ16" s="28"/>
      <c r="AEK16" s="28"/>
      <c r="AEL16" s="28"/>
      <c r="AEM16" s="28"/>
      <c r="AEN16" s="28"/>
      <c r="AEO16" s="28"/>
      <c r="AEP16" s="28"/>
      <c r="AEQ16" s="28"/>
      <c r="AER16" s="28"/>
      <c r="AES16" s="28"/>
      <c r="AET16" s="28"/>
      <c r="AEU16" s="28"/>
      <c r="AEV16" s="28"/>
      <c r="AEW16" s="28"/>
      <c r="AEX16" s="28"/>
      <c r="AEY16" s="28"/>
      <c r="AEZ16" s="28"/>
      <c r="AFA16" s="28"/>
      <c r="AFB16" s="28"/>
      <c r="AFC16" s="28"/>
      <c r="AFD16" s="28"/>
      <c r="AFE16" s="28"/>
      <c r="AFF16" s="28"/>
      <c r="AFG16" s="28"/>
      <c r="AFH16" s="28"/>
      <c r="AFI16" s="28"/>
      <c r="AFJ16" s="28"/>
      <c r="AFK16" s="28"/>
      <c r="AFL16" s="28"/>
      <c r="AFM16" s="28"/>
      <c r="AFN16" s="28"/>
      <c r="AFO16" s="28"/>
      <c r="AFP16" s="28"/>
      <c r="AFQ16" s="28"/>
      <c r="AFR16" s="28"/>
      <c r="AFS16" s="28"/>
      <c r="AFT16" s="28"/>
      <c r="AFU16" s="28"/>
      <c r="AFV16" s="28"/>
      <c r="AFW16" s="28"/>
      <c r="AFX16" s="28"/>
      <c r="AFY16" s="28"/>
      <c r="AFZ16" s="28"/>
      <c r="AGA16" s="28"/>
      <c r="AGB16" s="28"/>
      <c r="AGC16" s="28"/>
      <c r="AGD16" s="28"/>
      <c r="AGE16" s="28"/>
      <c r="AGF16" s="28"/>
      <c r="AGG16" s="28"/>
      <c r="AGH16" s="28"/>
      <c r="AGI16" s="28"/>
      <c r="AGJ16" s="28"/>
      <c r="AGK16" s="28"/>
      <c r="AGL16" s="28"/>
      <c r="AGM16" s="28"/>
      <c r="AGN16" s="28"/>
      <c r="AGO16" s="28"/>
      <c r="AGP16" s="28"/>
      <c r="AGQ16" s="28"/>
      <c r="AGR16" s="28"/>
      <c r="AGS16" s="28"/>
      <c r="AGT16" s="28"/>
      <c r="AGU16" s="28"/>
      <c r="AGV16" s="28"/>
      <c r="AGW16" s="28"/>
      <c r="AGX16" s="28"/>
      <c r="AGY16" s="28"/>
      <c r="AGZ16" s="28"/>
      <c r="AHA16" s="28"/>
      <c r="AHB16" s="28"/>
      <c r="AHC16" s="28"/>
      <c r="AHD16" s="28"/>
      <c r="AHE16" s="28"/>
      <c r="AHF16" s="28"/>
      <c r="AHG16" s="28"/>
      <c r="AHH16" s="28"/>
      <c r="AHI16" s="28"/>
      <c r="AHJ16" s="28"/>
      <c r="AHK16" s="28"/>
      <c r="AHL16" s="28"/>
      <c r="AHM16" s="28"/>
      <c r="AHN16" s="28"/>
      <c r="AHO16" s="28"/>
      <c r="AHP16" s="28"/>
      <c r="AHQ16" s="28"/>
      <c r="AHR16" s="28"/>
      <c r="AHS16" s="28"/>
      <c r="AHT16" s="28"/>
      <c r="AHU16" s="28"/>
      <c r="AHV16" s="28"/>
      <c r="AHW16" s="28"/>
      <c r="AHX16" s="28"/>
      <c r="AHY16" s="28"/>
      <c r="AHZ16" s="28"/>
      <c r="AIA16" s="28"/>
      <c r="AIB16" s="28"/>
      <c r="AIC16" s="28"/>
      <c r="AID16" s="28"/>
      <c r="AIE16" s="28"/>
      <c r="AIF16" s="28"/>
      <c r="AIG16" s="28"/>
      <c r="AIH16" s="28"/>
      <c r="AII16" s="28"/>
      <c r="AIJ16" s="28"/>
      <c r="AIK16" s="28"/>
      <c r="AIL16" s="28"/>
      <c r="AIM16" s="28"/>
      <c r="AIN16" s="28"/>
      <c r="AIO16" s="28"/>
      <c r="AIP16" s="28"/>
      <c r="AIQ16" s="28"/>
      <c r="AIR16" s="28"/>
      <c r="AIS16" s="28"/>
      <c r="AIT16" s="28"/>
      <c r="AIU16" s="28"/>
      <c r="AIV16" s="28"/>
      <c r="AIW16" s="28"/>
      <c r="AIX16" s="28"/>
      <c r="AIY16" s="28"/>
      <c r="AIZ16" s="28"/>
      <c r="AJA16" s="28"/>
      <c r="AJB16" s="28"/>
      <c r="AJC16" s="28"/>
      <c r="AJD16" s="28"/>
      <c r="AJE16" s="28"/>
      <c r="AJF16" s="28"/>
      <c r="AJG16" s="28"/>
      <c r="AJH16" s="28"/>
      <c r="AJI16" s="28"/>
      <c r="AJJ16" s="28"/>
      <c r="AJK16" s="28"/>
      <c r="AJL16" s="28"/>
      <c r="AJM16" s="28"/>
      <c r="AJN16" s="28"/>
      <c r="AJO16" s="28"/>
      <c r="AJP16" s="28"/>
      <c r="AJQ16" s="28"/>
      <c r="AJR16" s="28"/>
      <c r="AJS16" s="28"/>
      <c r="AJT16" s="28"/>
      <c r="AJU16" s="28"/>
      <c r="AJV16" s="28"/>
      <c r="AJW16" s="28"/>
      <c r="AJX16" s="28"/>
      <c r="AJY16" s="28"/>
      <c r="AJZ16" s="28"/>
      <c r="AKA16" s="28"/>
      <c r="AKB16" s="28"/>
      <c r="AKC16" s="28"/>
      <c r="AKD16" s="28"/>
      <c r="AKE16" s="28"/>
      <c r="AKF16" s="28"/>
      <c r="AKG16" s="28"/>
      <c r="AKH16" s="28"/>
      <c r="AKI16" s="28"/>
      <c r="AKJ16" s="28"/>
      <c r="AKK16" s="28"/>
      <c r="AKL16" s="28"/>
      <c r="AKM16" s="28"/>
      <c r="AKN16" s="28"/>
      <c r="AKO16" s="28"/>
      <c r="AKP16" s="28"/>
      <c r="AKQ16" s="28"/>
      <c r="AKR16" s="28"/>
      <c r="AKS16" s="28"/>
      <c r="AKT16" s="28"/>
      <c r="AKU16" s="28"/>
      <c r="AKV16" s="28"/>
      <c r="AKW16" s="28"/>
      <c r="AKX16" s="28"/>
      <c r="AKY16" s="28"/>
      <c r="AKZ16" s="28"/>
      <c r="ALA16" s="28"/>
      <c r="ALB16" s="28"/>
      <c r="ALC16" s="28"/>
      <c r="ALD16" s="28"/>
      <c r="ALE16" s="28"/>
      <c r="ALF16" s="28"/>
      <c r="ALG16" s="28"/>
      <c r="ALH16" s="28"/>
      <c r="ALI16" s="28"/>
      <c r="ALJ16" s="28"/>
      <c r="ALK16" s="28"/>
      <c r="ALL16" s="28"/>
      <c r="ALM16" s="28"/>
      <c r="ALN16" s="28"/>
      <c r="ALO16" s="28"/>
      <c r="ALP16" s="28"/>
      <c r="ALQ16" s="28"/>
      <c r="ALR16" s="28"/>
      <c r="ALS16" s="28"/>
      <c r="ALT16" s="28"/>
      <c r="ALU16" s="28"/>
      <c r="ALV16" s="28"/>
      <c r="ALW16" s="28"/>
      <c r="ALX16" s="28"/>
      <c r="ALY16" s="28"/>
      <c r="ALZ16" s="28"/>
      <c r="AMA16" s="28"/>
      <c r="AMB16" s="28"/>
      <c r="AMC16" s="28"/>
      <c r="AMD16" s="28"/>
      <c r="AME16" s="28"/>
      <c r="AMF16" s="28"/>
    </row>
    <row r="17" spans="1:1020">
      <c r="A17" s="29"/>
      <c r="B17" s="33"/>
      <c r="C17" s="26"/>
      <c r="D17" s="33"/>
      <c r="E17" s="26"/>
      <c r="F17" s="17"/>
      <c r="G17" s="17"/>
      <c r="H17" s="23"/>
      <c r="I17" s="23"/>
      <c r="J17" s="23"/>
      <c r="K17" s="30"/>
      <c r="L17" s="15"/>
      <c r="M17" s="27"/>
      <c r="N17" s="27"/>
      <c r="O17" s="27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  <c r="KH17" s="28"/>
      <c r="KI17" s="28"/>
      <c r="KJ17" s="28"/>
      <c r="KK17" s="28"/>
      <c r="KL17" s="28"/>
      <c r="KM17" s="28"/>
      <c r="KN17" s="28"/>
      <c r="KO17" s="28"/>
      <c r="KP17" s="28"/>
      <c r="KQ17" s="28"/>
      <c r="KR17" s="28"/>
      <c r="KS17" s="28"/>
      <c r="KT17" s="28"/>
      <c r="KU17" s="28"/>
      <c r="KV17" s="28"/>
      <c r="KW17" s="28"/>
      <c r="KX17" s="28"/>
      <c r="KY17" s="28"/>
      <c r="KZ17" s="28"/>
      <c r="LA17" s="28"/>
      <c r="LB17" s="28"/>
      <c r="LC17" s="28"/>
      <c r="LD17" s="28"/>
      <c r="LE17" s="28"/>
      <c r="LF17" s="28"/>
      <c r="LG17" s="28"/>
      <c r="LH17" s="28"/>
      <c r="LI17" s="28"/>
      <c r="LJ17" s="28"/>
      <c r="LK17" s="28"/>
      <c r="LL17" s="28"/>
      <c r="LM17" s="28"/>
      <c r="LN17" s="28"/>
      <c r="LO17" s="28"/>
      <c r="LP17" s="28"/>
      <c r="LQ17" s="28"/>
      <c r="LR17" s="28"/>
      <c r="LS17" s="28"/>
      <c r="LT17" s="28"/>
      <c r="LU17" s="28"/>
      <c r="LV17" s="28"/>
      <c r="LW17" s="28"/>
      <c r="LX17" s="28"/>
      <c r="LY17" s="28"/>
      <c r="LZ17" s="28"/>
      <c r="MA17" s="28"/>
      <c r="MB17" s="28"/>
      <c r="MC17" s="28"/>
      <c r="MD17" s="28"/>
      <c r="ME17" s="28"/>
      <c r="MF17" s="28"/>
      <c r="MG17" s="28"/>
      <c r="MH17" s="28"/>
      <c r="MI17" s="28"/>
      <c r="MJ17" s="28"/>
      <c r="MK17" s="28"/>
      <c r="ML17" s="28"/>
      <c r="MM17" s="28"/>
      <c r="MN17" s="28"/>
      <c r="MO17" s="28"/>
      <c r="MP17" s="28"/>
      <c r="MQ17" s="28"/>
      <c r="MR17" s="28"/>
      <c r="MS17" s="28"/>
      <c r="MT17" s="28"/>
      <c r="MU17" s="28"/>
      <c r="MV17" s="28"/>
      <c r="MW17" s="28"/>
      <c r="MX17" s="28"/>
      <c r="MY17" s="28"/>
      <c r="MZ17" s="28"/>
      <c r="NA17" s="28"/>
      <c r="NB17" s="28"/>
      <c r="NC17" s="28"/>
      <c r="ND17" s="28"/>
      <c r="NE17" s="28"/>
      <c r="NF17" s="28"/>
      <c r="NG17" s="28"/>
      <c r="NH17" s="28"/>
      <c r="NI17" s="28"/>
      <c r="NJ17" s="28"/>
      <c r="NK17" s="28"/>
      <c r="NL17" s="28"/>
      <c r="NM17" s="28"/>
      <c r="NN17" s="28"/>
      <c r="NO17" s="28"/>
      <c r="NP17" s="28"/>
      <c r="NQ17" s="28"/>
      <c r="NR17" s="28"/>
      <c r="NS17" s="28"/>
      <c r="NT17" s="28"/>
      <c r="NU17" s="28"/>
      <c r="NV17" s="28"/>
      <c r="NW17" s="28"/>
      <c r="NX17" s="28"/>
      <c r="NY17" s="28"/>
      <c r="NZ17" s="28"/>
      <c r="OA17" s="28"/>
      <c r="OB17" s="28"/>
      <c r="OC17" s="28"/>
      <c r="OD17" s="28"/>
      <c r="OE17" s="28"/>
      <c r="OF17" s="28"/>
      <c r="OG17" s="28"/>
      <c r="OH17" s="28"/>
      <c r="OI17" s="28"/>
      <c r="OJ17" s="28"/>
      <c r="OK17" s="28"/>
      <c r="OL17" s="28"/>
      <c r="OM17" s="28"/>
      <c r="ON17" s="28"/>
      <c r="OO17" s="28"/>
      <c r="OP17" s="28"/>
      <c r="OQ17" s="28"/>
      <c r="OR17" s="28"/>
      <c r="OS17" s="28"/>
      <c r="OT17" s="28"/>
      <c r="OU17" s="28"/>
      <c r="OV17" s="28"/>
      <c r="OW17" s="28"/>
      <c r="OX17" s="28"/>
      <c r="OY17" s="28"/>
      <c r="OZ17" s="28"/>
      <c r="PA17" s="28"/>
      <c r="PB17" s="28"/>
      <c r="PC17" s="28"/>
      <c r="PD17" s="28"/>
      <c r="PE17" s="28"/>
      <c r="PF17" s="28"/>
      <c r="PG17" s="28"/>
      <c r="PH17" s="28"/>
      <c r="PI17" s="28"/>
      <c r="PJ17" s="28"/>
      <c r="PK17" s="28"/>
      <c r="PL17" s="28"/>
      <c r="PM17" s="28"/>
      <c r="PN17" s="28"/>
      <c r="PO17" s="28"/>
      <c r="PP17" s="28"/>
      <c r="PQ17" s="28"/>
      <c r="PR17" s="28"/>
      <c r="PS17" s="28"/>
      <c r="PT17" s="28"/>
      <c r="PU17" s="28"/>
      <c r="PV17" s="28"/>
      <c r="PW17" s="28"/>
      <c r="PX17" s="28"/>
      <c r="PY17" s="28"/>
      <c r="PZ17" s="28"/>
      <c r="QA17" s="28"/>
      <c r="QB17" s="28"/>
      <c r="QC17" s="28"/>
      <c r="QD17" s="28"/>
      <c r="QE17" s="28"/>
      <c r="QF17" s="28"/>
      <c r="QG17" s="28"/>
      <c r="QH17" s="28"/>
      <c r="QI17" s="28"/>
      <c r="QJ17" s="28"/>
      <c r="QK17" s="28"/>
      <c r="QL17" s="28"/>
      <c r="QM17" s="28"/>
      <c r="QN17" s="28"/>
      <c r="QO17" s="28"/>
      <c r="QP17" s="28"/>
      <c r="QQ17" s="28"/>
      <c r="QR17" s="28"/>
      <c r="QS17" s="28"/>
      <c r="QT17" s="28"/>
      <c r="QU17" s="28"/>
      <c r="QV17" s="28"/>
      <c r="QW17" s="28"/>
      <c r="QX17" s="28"/>
      <c r="QY17" s="28"/>
      <c r="QZ17" s="28"/>
      <c r="RA17" s="28"/>
      <c r="RB17" s="28"/>
      <c r="RC17" s="28"/>
      <c r="RD17" s="28"/>
      <c r="RE17" s="28"/>
      <c r="RF17" s="28"/>
      <c r="RG17" s="28"/>
      <c r="RH17" s="28"/>
      <c r="RI17" s="28"/>
      <c r="RJ17" s="28"/>
      <c r="RK17" s="28"/>
      <c r="RL17" s="28"/>
      <c r="RM17" s="28"/>
      <c r="RN17" s="28"/>
      <c r="RO17" s="28"/>
      <c r="RP17" s="28"/>
      <c r="RQ17" s="28"/>
      <c r="RR17" s="28"/>
      <c r="RS17" s="28"/>
      <c r="RT17" s="28"/>
      <c r="RU17" s="28"/>
      <c r="RV17" s="28"/>
      <c r="RW17" s="28"/>
      <c r="RX17" s="28"/>
      <c r="RY17" s="28"/>
      <c r="RZ17" s="28"/>
      <c r="SA17" s="28"/>
      <c r="SB17" s="28"/>
      <c r="SC17" s="28"/>
      <c r="SD17" s="28"/>
      <c r="SE17" s="28"/>
      <c r="SF17" s="28"/>
      <c r="SG17" s="28"/>
      <c r="SH17" s="28"/>
      <c r="SI17" s="28"/>
      <c r="SJ17" s="28"/>
      <c r="SK17" s="28"/>
      <c r="SL17" s="28"/>
      <c r="SM17" s="28"/>
      <c r="SN17" s="28"/>
      <c r="SO17" s="28"/>
      <c r="SP17" s="28"/>
      <c r="SQ17" s="28"/>
      <c r="SR17" s="28"/>
      <c r="SS17" s="28"/>
      <c r="ST17" s="28"/>
      <c r="SU17" s="28"/>
      <c r="SV17" s="28"/>
      <c r="SW17" s="28"/>
      <c r="SX17" s="28"/>
      <c r="SY17" s="28"/>
      <c r="SZ17" s="28"/>
      <c r="TA17" s="28"/>
      <c r="TB17" s="28"/>
      <c r="TC17" s="28"/>
      <c r="TD17" s="28"/>
      <c r="TE17" s="28"/>
      <c r="TF17" s="28"/>
      <c r="TG17" s="28"/>
      <c r="TH17" s="28"/>
      <c r="TI17" s="28"/>
      <c r="TJ17" s="28"/>
      <c r="TK17" s="28"/>
      <c r="TL17" s="28"/>
      <c r="TM17" s="28"/>
      <c r="TN17" s="28"/>
      <c r="TO17" s="28"/>
      <c r="TP17" s="28"/>
      <c r="TQ17" s="28"/>
      <c r="TR17" s="28"/>
      <c r="TS17" s="28"/>
      <c r="TT17" s="28"/>
      <c r="TU17" s="28"/>
      <c r="TV17" s="28"/>
      <c r="TW17" s="28"/>
      <c r="TX17" s="28"/>
      <c r="TY17" s="28"/>
      <c r="TZ17" s="28"/>
      <c r="UA17" s="28"/>
      <c r="UB17" s="28"/>
      <c r="UC17" s="28"/>
      <c r="UD17" s="28"/>
      <c r="UE17" s="28"/>
      <c r="UF17" s="28"/>
      <c r="UG17" s="28"/>
      <c r="UH17" s="28"/>
      <c r="UI17" s="28"/>
      <c r="UJ17" s="28"/>
      <c r="UK17" s="28"/>
      <c r="UL17" s="28"/>
      <c r="UM17" s="28"/>
      <c r="UN17" s="28"/>
      <c r="UO17" s="28"/>
      <c r="UP17" s="28"/>
      <c r="UQ17" s="28"/>
      <c r="UR17" s="28"/>
      <c r="US17" s="28"/>
      <c r="UT17" s="28"/>
      <c r="UU17" s="28"/>
      <c r="UV17" s="28"/>
      <c r="UW17" s="28"/>
      <c r="UX17" s="28"/>
      <c r="UY17" s="28"/>
      <c r="UZ17" s="28"/>
      <c r="VA17" s="28"/>
      <c r="VB17" s="28"/>
      <c r="VC17" s="28"/>
      <c r="VD17" s="28"/>
      <c r="VE17" s="28"/>
      <c r="VF17" s="28"/>
      <c r="VG17" s="28"/>
      <c r="VH17" s="28"/>
      <c r="VI17" s="28"/>
      <c r="VJ17" s="28"/>
      <c r="VK17" s="28"/>
      <c r="VL17" s="28"/>
      <c r="VM17" s="28"/>
      <c r="VN17" s="28"/>
      <c r="VO17" s="28"/>
      <c r="VP17" s="28"/>
      <c r="VQ17" s="28"/>
      <c r="VR17" s="28"/>
      <c r="VS17" s="28"/>
      <c r="VT17" s="28"/>
      <c r="VU17" s="28"/>
      <c r="VV17" s="28"/>
      <c r="VW17" s="28"/>
      <c r="VX17" s="28"/>
      <c r="VY17" s="28"/>
      <c r="VZ17" s="28"/>
      <c r="WA17" s="28"/>
      <c r="WB17" s="28"/>
      <c r="WC17" s="28"/>
      <c r="WD17" s="28"/>
      <c r="WE17" s="28"/>
      <c r="WF17" s="28"/>
      <c r="WG17" s="28"/>
      <c r="WH17" s="28"/>
      <c r="WI17" s="28"/>
      <c r="WJ17" s="28"/>
      <c r="WK17" s="28"/>
      <c r="WL17" s="28"/>
      <c r="WM17" s="28"/>
      <c r="WN17" s="28"/>
      <c r="WO17" s="28"/>
      <c r="WP17" s="28"/>
      <c r="WQ17" s="28"/>
      <c r="WR17" s="28"/>
      <c r="WS17" s="28"/>
      <c r="WT17" s="28"/>
      <c r="WU17" s="28"/>
      <c r="WV17" s="28"/>
      <c r="WW17" s="28"/>
      <c r="WX17" s="28"/>
      <c r="WY17" s="28"/>
      <c r="WZ17" s="28"/>
      <c r="XA17" s="28"/>
      <c r="XB17" s="28"/>
      <c r="XC17" s="28"/>
      <c r="XD17" s="28"/>
      <c r="XE17" s="28"/>
      <c r="XF17" s="28"/>
      <c r="XG17" s="28"/>
      <c r="XH17" s="28"/>
      <c r="XI17" s="28"/>
      <c r="XJ17" s="28"/>
      <c r="XK17" s="28"/>
      <c r="XL17" s="28"/>
      <c r="XM17" s="28"/>
      <c r="XN17" s="28"/>
      <c r="XO17" s="28"/>
      <c r="XP17" s="28"/>
      <c r="XQ17" s="28"/>
      <c r="XR17" s="28"/>
      <c r="XS17" s="28"/>
      <c r="XT17" s="28"/>
      <c r="XU17" s="28"/>
      <c r="XV17" s="28"/>
      <c r="XW17" s="28"/>
      <c r="XX17" s="28"/>
      <c r="XY17" s="28"/>
      <c r="XZ17" s="28"/>
      <c r="YA17" s="28"/>
      <c r="YB17" s="28"/>
      <c r="YC17" s="28"/>
      <c r="YD17" s="28"/>
      <c r="YE17" s="28"/>
      <c r="YF17" s="28"/>
      <c r="YG17" s="28"/>
      <c r="YH17" s="28"/>
      <c r="YI17" s="28"/>
      <c r="YJ17" s="28"/>
      <c r="YK17" s="28"/>
      <c r="YL17" s="28"/>
      <c r="YM17" s="28"/>
      <c r="YN17" s="28"/>
      <c r="YO17" s="28"/>
      <c r="YP17" s="28"/>
      <c r="YQ17" s="28"/>
      <c r="YR17" s="28"/>
      <c r="YS17" s="28"/>
      <c r="YT17" s="28"/>
      <c r="YU17" s="28"/>
      <c r="YV17" s="28"/>
      <c r="YW17" s="28"/>
      <c r="YX17" s="28"/>
      <c r="YY17" s="28"/>
      <c r="YZ17" s="28"/>
      <c r="ZA17" s="28"/>
      <c r="ZB17" s="28"/>
      <c r="ZC17" s="28"/>
      <c r="ZD17" s="28"/>
      <c r="ZE17" s="28"/>
      <c r="ZF17" s="28"/>
      <c r="ZG17" s="28"/>
      <c r="ZH17" s="28"/>
      <c r="ZI17" s="28"/>
      <c r="ZJ17" s="28"/>
      <c r="ZK17" s="28"/>
      <c r="ZL17" s="28"/>
      <c r="ZM17" s="28"/>
      <c r="ZN17" s="28"/>
      <c r="ZO17" s="28"/>
      <c r="ZP17" s="28"/>
      <c r="ZQ17" s="28"/>
      <c r="ZR17" s="28"/>
      <c r="ZS17" s="28"/>
      <c r="ZT17" s="28"/>
      <c r="ZU17" s="28"/>
      <c r="ZV17" s="28"/>
      <c r="ZW17" s="28"/>
      <c r="ZX17" s="28"/>
      <c r="ZY17" s="28"/>
      <c r="ZZ17" s="28"/>
      <c r="AAA17" s="28"/>
      <c r="AAB17" s="28"/>
      <c r="AAC17" s="28"/>
      <c r="AAD17" s="28"/>
      <c r="AAE17" s="28"/>
      <c r="AAF17" s="28"/>
      <c r="AAG17" s="28"/>
      <c r="AAH17" s="28"/>
      <c r="AAI17" s="28"/>
      <c r="AAJ17" s="28"/>
      <c r="AAK17" s="28"/>
      <c r="AAL17" s="28"/>
      <c r="AAM17" s="28"/>
      <c r="AAN17" s="28"/>
      <c r="AAO17" s="28"/>
      <c r="AAP17" s="28"/>
      <c r="AAQ17" s="28"/>
      <c r="AAR17" s="28"/>
      <c r="AAS17" s="28"/>
      <c r="AAT17" s="28"/>
      <c r="AAU17" s="28"/>
      <c r="AAV17" s="28"/>
      <c r="AAW17" s="28"/>
      <c r="AAX17" s="28"/>
      <c r="AAY17" s="28"/>
      <c r="AAZ17" s="28"/>
      <c r="ABA17" s="28"/>
      <c r="ABB17" s="28"/>
      <c r="ABC17" s="28"/>
      <c r="ABD17" s="28"/>
      <c r="ABE17" s="28"/>
      <c r="ABF17" s="28"/>
      <c r="ABG17" s="28"/>
      <c r="ABH17" s="28"/>
      <c r="ABI17" s="28"/>
      <c r="ABJ17" s="28"/>
      <c r="ABK17" s="28"/>
      <c r="ABL17" s="28"/>
      <c r="ABM17" s="28"/>
      <c r="ABN17" s="28"/>
      <c r="ABO17" s="28"/>
      <c r="ABP17" s="28"/>
      <c r="ABQ17" s="28"/>
      <c r="ABR17" s="28"/>
      <c r="ABS17" s="28"/>
      <c r="ABT17" s="28"/>
      <c r="ABU17" s="28"/>
      <c r="ABV17" s="28"/>
      <c r="ABW17" s="28"/>
      <c r="ABX17" s="28"/>
      <c r="ABY17" s="28"/>
      <c r="ABZ17" s="28"/>
      <c r="ACA17" s="28"/>
      <c r="ACB17" s="28"/>
      <c r="ACC17" s="28"/>
      <c r="ACD17" s="28"/>
      <c r="ACE17" s="28"/>
      <c r="ACF17" s="28"/>
      <c r="ACG17" s="28"/>
      <c r="ACH17" s="28"/>
      <c r="ACI17" s="28"/>
      <c r="ACJ17" s="28"/>
      <c r="ACK17" s="28"/>
      <c r="ACL17" s="28"/>
      <c r="ACM17" s="28"/>
      <c r="ACN17" s="28"/>
      <c r="ACO17" s="28"/>
      <c r="ACP17" s="28"/>
      <c r="ACQ17" s="28"/>
      <c r="ACR17" s="28"/>
      <c r="ACS17" s="28"/>
      <c r="ACT17" s="28"/>
      <c r="ACU17" s="28"/>
      <c r="ACV17" s="28"/>
      <c r="ACW17" s="28"/>
      <c r="ACX17" s="28"/>
      <c r="ACY17" s="28"/>
      <c r="ACZ17" s="28"/>
      <c r="ADA17" s="28"/>
      <c r="ADB17" s="28"/>
      <c r="ADC17" s="28"/>
      <c r="ADD17" s="28"/>
      <c r="ADE17" s="28"/>
      <c r="ADF17" s="28"/>
      <c r="ADG17" s="28"/>
      <c r="ADH17" s="28"/>
      <c r="ADI17" s="28"/>
      <c r="ADJ17" s="28"/>
      <c r="ADK17" s="28"/>
      <c r="ADL17" s="28"/>
      <c r="ADM17" s="28"/>
      <c r="ADN17" s="28"/>
      <c r="ADO17" s="28"/>
      <c r="ADP17" s="28"/>
      <c r="ADQ17" s="28"/>
      <c r="ADR17" s="28"/>
      <c r="ADS17" s="28"/>
      <c r="ADT17" s="28"/>
      <c r="ADU17" s="28"/>
      <c r="ADV17" s="28"/>
      <c r="ADW17" s="28"/>
      <c r="ADX17" s="28"/>
      <c r="ADY17" s="28"/>
      <c r="ADZ17" s="28"/>
      <c r="AEA17" s="28"/>
      <c r="AEB17" s="28"/>
      <c r="AEC17" s="28"/>
      <c r="AED17" s="28"/>
      <c r="AEE17" s="28"/>
      <c r="AEF17" s="28"/>
      <c r="AEG17" s="28"/>
      <c r="AEH17" s="28"/>
      <c r="AEI17" s="28"/>
      <c r="AEJ17" s="28"/>
      <c r="AEK17" s="28"/>
      <c r="AEL17" s="28"/>
      <c r="AEM17" s="28"/>
      <c r="AEN17" s="28"/>
      <c r="AEO17" s="28"/>
      <c r="AEP17" s="28"/>
      <c r="AEQ17" s="28"/>
      <c r="AER17" s="28"/>
      <c r="AES17" s="28"/>
      <c r="AET17" s="28"/>
      <c r="AEU17" s="28"/>
      <c r="AEV17" s="28"/>
      <c r="AEW17" s="28"/>
      <c r="AEX17" s="28"/>
      <c r="AEY17" s="28"/>
      <c r="AEZ17" s="28"/>
      <c r="AFA17" s="28"/>
      <c r="AFB17" s="28"/>
      <c r="AFC17" s="28"/>
      <c r="AFD17" s="28"/>
      <c r="AFE17" s="28"/>
      <c r="AFF17" s="28"/>
      <c r="AFG17" s="28"/>
      <c r="AFH17" s="28"/>
      <c r="AFI17" s="28"/>
      <c r="AFJ17" s="28"/>
      <c r="AFK17" s="28"/>
      <c r="AFL17" s="28"/>
      <c r="AFM17" s="28"/>
      <c r="AFN17" s="28"/>
      <c r="AFO17" s="28"/>
      <c r="AFP17" s="28"/>
      <c r="AFQ17" s="28"/>
      <c r="AFR17" s="28"/>
      <c r="AFS17" s="28"/>
      <c r="AFT17" s="28"/>
      <c r="AFU17" s="28"/>
      <c r="AFV17" s="28"/>
      <c r="AFW17" s="28"/>
      <c r="AFX17" s="28"/>
      <c r="AFY17" s="28"/>
      <c r="AFZ17" s="28"/>
      <c r="AGA17" s="28"/>
      <c r="AGB17" s="28"/>
      <c r="AGC17" s="28"/>
      <c r="AGD17" s="28"/>
      <c r="AGE17" s="28"/>
      <c r="AGF17" s="28"/>
      <c r="AGG17" s="28"/>
      <c r="AGH17" s="28"/>
      <c r="AGI17" s="28"/>
      <c r="AGJ17" s="28"/>
      <c r="AGK17" s="28"/>
      <c r="AGL17" s="28"/>
      <c r="AGM17" s="28"/>
      <c r="AGN17" s="28"/>
      <c r="AGO17" s="28"/>
      <c r="AGP17" s="28"/>
      <c r="AGQ17" s="28"/>
      <c r="AGR17" s="28"/>
      <c r="AGS17" s="28"/>
      <c r="AGT17" s="28"/>
      <c r="AGU17" s="28"/>
      <c r="AGV17" s="28"/>
      <c r="AGW17" s="28"/>
      <c r="AGX17" s="28"/>
      <c r="AGY17" s="28"/>
      <c r="AGZ17" s="28"/>
      <c r="AHA17" s="28"/>
      <c r="AHB17" s="28"/>
      <c r="AHC17" s="28"/>
      <c r="AHD17" s="28"/>
      <c r="AHE17" s="28"/>
      <c r="AHF17" s="28"/>
      <c r="AHG17" s="28"/>
      <c r="AHH17" s="28"/>
      <c r="AHI17" s="28"/>
      <c r="AHJ17" s="28"/>
      <c r="AHK17" s="28"/>
      <c r="AHL17" s="28"/>
      <c r="AHM17" s="28"/>
      <c r="AHN17" s="28"/>
      <c r="AHO17" s="28"/>
      <c r="AHP17" s="28"/>
      <c r="AHQ17" s="28"/>
      <c r="AHR17" s="28"/>
      <c r="AHS17" s="28"/>
      <c r="AHT17" s="28"/>
      <c r="AHU17" s="28"/>
      <c r="AHV17" s="28"/>
      <c r="AHW17" s="28"/>
      <c r="AHX17" s="28"/>
      <c r="AHY17" s="28"/>
      <c r="AHZ17" s="28"/>
      <c r="AIA17" s="28"/>
      <c r="AIB17" s="28"/>
      <c r="AIC17" s="28"/>
      <c r="AID17" s="28"/>
      <c r="AIE17" s="28"/>
      <c r="AIF17" s="28"/>
      <c r="AIG17" s="28"/>
      <c r="AIH17" s="28"/>
      <c r="AII17" s="28"/>
      <c r="AIJ17" s="28"/>
      <c r="AIK17" s="28"/>
      <c r="AIL17" s="28"/>
      <c r="AIM17" s="28"/>
      <c r="AIN17" s="28"/>
      <c r="AIO17" s="28"/>
      <c r="AIP17" s="28"/>
      <c r="AIQ17" s="28"/>
      <c r="AIR17" s="28"/>
      <c r="AIS17" s="28"/>
      <c r="AIT17" s="28"/>
      <c r="AIU17" s="28"/>
      <c r="AIV17" s="28"/>
      <c r="AIW17" s="28"/>
      <c r="AIX17" s="28"/>
      <c r="AIY17" s="28"/>
      <c r="AIZ17" s="28"/>
      <c r="AJA17" s="28"/>
      <c r="AJB17" s="28"/>
      <c r="AJC17" s="28"/>
      <c r="AJD17" s="28"/>
      <c r="AJE17" s="28"/>
      <c r="AJF17" s="28"/>
      <c r="AJG17" s="28"/>
      <c r="AJH17" s="28"/>
      <c r="AJI17" s="28"/>
      <c r="AJJ17" s="28"/>
      <c r="AJK17" s="28"/>
      <c r="AJL17" s="28"/>
      <c r="AJM17" s="28"/>
      <c r="AJN17" s="28"/>
      <c r="AJO17" s="28"/>
      <c r="AJP17" s="28"/>
      <c r="AJQ17" s="28"/>
      <c r="AJR17" s="28"/>
      <c r="AJS17" s="28"/>
      <c r="AJT17" s="28"/>
      <c r="AJU17" s="28"/>
      <c r="AJV17" s="28"/>
      <c r="AJW17" s="28"/>
      <c r="AJX17" s="28"/>
      <c r="AJY17" s="28"/>
      <c r="AJZ17" s="28"/>
      <c r="AKA17" s="28"/>
      <c r="AKB17" s="28"/>
      <c r="AKC17" s="28"/>
      <c r="AKD17" s="28"/>
      <c r="AKE17" s="28"/>
      <c r="AKF17" s="28"/>
      <c r="AKG17" s="28"/>
      <c r="AKH17" s="28"/>
      <c r="AKI17" s="28"/>
      <c r="AKJ17" s="28"/>
      <c r="AKK17" s="28"/>
      <c r="AKL17" s="28"/>
      <c r="AKM17" s="28"/>
      <c r="AKN17" s="28"/>
      <c r="AKO17" s="28"/>
      <c r="AKP17" s="28"/>
      <c r="AKQ17" s="28"/>
      <c r="AKR17" s="28"/>
      <c r="AKS17" s="28"/>
      <c r="AKT17" s="28"/>
      <c r="AKU17" s="28"/>
      <c r="AKV17" s="28"/>
      <c r="AKW17" s="28"/>
      <c r="AKX17" s="28"/>
      <c r="AKY17" s="28"/>
      <c r="AKZ17" s="28"/>
      <c r="ALA17" s="28"/>
      <c r="ALB17" s="28"/>
      <c r="ALC17" s="28"/>
      <c r="ALD17" s="28"/>
      <c r="ALE17" s="28"/>
      <c r="ALF17" s="28"/>
      <c r="ALG17" s="28"/>
      <c r="ALH17" s="28"/>
      <c r="ALI17" s="28"/>
      <c r="ALJ17" s="28"/>
      <c r="ALK17" s="28"/>
      <c r="ALL17" s="28"/>
      <c r="ALM17" s="28"/>
      <c r="ALN17" s="28"/>
      <c r="ALO17" s="28"/>
      <c r="ALP17" s="28"/>
      <c r="ALQ17" s="28"/>
      <c r="ALR17" s="28"/>
      <c r="ALS17" s="28"/>
      <c r="ALT17" s="28"/>
      <c r="ALU17" s="28"/>
      <c r="ALV17" s="28"/>
      <c r="ALW17" s="28"/>
      <c r="ALX17" s="28"/>
      <c r="ALY17" s="28"/>
      <c r="ALZ17" s="28"/>
      <c r="AMA17" s="28"/>
      <c r="AMB17" s="28"/>
      <c r="AMC17" s="28"/>
      <c r="AMD17" s="28"/>
      <c r="AME17" s="28"/>
      <c r="AMF17" s="28"/>
    </row>
    <row r="18" spans="1:1020">
      <c r="A18" s="18"/>
      <c r="B18" s="33"/>
      <c r="C18" s="26"/>
      <c r="D18" s="33"/>
      <c r="E18" s="26"/>
      <c r="F18" s="17"/>
      <c r="G18" s="17"/>
      <c r="H18" s="23"/>
      <c r="I18" s="23"/>
      <c r="J18" s="23"/>
      <c r="K18" s="30"/>
      <c r="L18" s="15"/>
      <c r="M18" s="2"/>
      <c r="N18" s="2"/>
      <c r="O18" s="2"/>
    </row>
    <row r="19" spans="1:1020">
      <c r="A19" s="8" t="s">
        <v>18</v>
      </c>
      <c r="C19" s="34">
        <f>SUM(C5:C18)</f>
        <v>393.1</v>
      </c>
      <c r="D19" s="35">
        <f>SUM(D5:D18)</f>
        <v>364.13</v>
      </c>
      <c r="E19" s="34">
        <f>SUM(E5:E18)</f>
        <v>372</v>
      </c>
      <c r="F19" s="17"/>
      <c r="G19" s="17"/>
      <c r="H19" s="23">
        <f>C19-C39</f>
        <v>-104.69999999999999</v>
      </c>
      <c r="I19" s="23">
        <f>D19-D39</f>
        <v>-5.6890000000000214</v>
      </c>
      <c r="J19" s="23">
        <f>E19-E39</f>
        <v>-51.699999999999989</v>
      </c>
      <c r="K19" s="30"/>
      <c r="L19" s="15"/>
      <c r="M19" s="2"/>
      <c r="N19" s="2"/>
      <c r="O19" s="2"/>
    </row>
    <row r="20" spans="1:1020">
      <c r="E20" s="36"/>
      <c r="F20" s="37"/>
      <c r="G20" s="37"/>
      <c r="H20" s="37"/>
      <c r="I20" s="37"/>
      <c r="J20" s="38"/>
      <c r="K20" s="30"/>
      <c r="L20" s="30"/>
      <c r="M20" s="2"/>
      <c r="N20" s="2"/>
      <c r="O20" s="2"/>
    </row>
    <row r="21" spans="1:1020">
      <c r="E21" s="36"/>
      <c r="F21" s="37"/>
      <c r="G21" s="37"/>
      <c r="H21" s="35"/>
      <c r="I21" s="35"/>
      <c r="J21" s="35"/>
      <c r="K21" s="30"/>
      <c r="L21" s="30"/>
      <c r="M21" s="2"/>
      <c r="N21" s="2"/>
      <c r="O21" s="2"/>
    </row>
    <row r="22" spans="1:1020">
      <c r="A22" s="14" t="s">
        <v>19</v>
      </c>
      <c r="B22" s="39"/>
      <c r="C22" s="39"/>
      <c r="D22" s="39"/>
      <c r="E22" s="36"/>
      <c r="F22" s="40"/>
      <c r="G22" s="40"/>
      <c r="H22" s="40"/>
      <c r="I22" s="40"/>
      <c r="J22" s="38"/>
      <c r="K22" s="30"/>
      <c r="L22" s="30"/>
      <c r="M22" s="2"/>
      <c r="N22" s="2"/>
      <c r="O22" s="2"/>
    </row>
    <row r="23" spans="1:1020">
      <c r="A23" s="18">
        <v>4015</v>
      </c>
      <c r="B23" s="19" t="s">
        <v>20</v>
      </c>
      <c r="C23" s="26">
        <v>7.5</v>
      </c>
      <c r="D23" s="19">
        <v>1.917</v>
      </c>
      <c r="E23" s="26">
        <v>2</v>
      </c>
      <c r="F23" s="17"/>
      <c r="G23" s="17"/>
      <c r="H23" s="17"/>
      <c r="I23" s="17"/>
      <c r="J23" s="38"/>
      <c r="K23" s="30"/>
      <c r="L23" s="30"/>
      <c r="M23" s="2"/>
      <c r="N23" s="2"/>
      <c r="O23" s="2"/>
    </row>
    <row r="24" spans="1:1020">
      <c r="A24" s="29">
        <v>4020</v>
      </c>
      <c r="B24" s="19" t="s">
        <v>21</v>
      </c>
      <c r="C24" s="26">
        <v>2.9</v>
      </c>
      <c r="D24" s="224">
        <f>0.166+1.125</f>
        <v>1.2909999999999999</v>
      </c>
      <c r="E24" s="26">
        <v>3</v>
      </c>
      <c r="F24" s="16"/>
      <c r="G24" s="17"/>
      <c r="H24" s="17"/>
      <c r="I24" s="17"/>
      <c r="J24" s="38"/>
      <c r="K24" s="30"/>
      <c r="L24" s="30"/>
      <c r="M24" s="2"/>
      <c r="N24" s="2"/>
      <c r="O24" s="2"/>
    </row>
    <row r="25" spans="1:1020">
      <c r="A25" s="29">
        <v>4030</v>
      </c>
      <c r="B25" s="19" t="s">
        <v>22</v>
      </c>
      <c r="C25" s="26">
        <v>5</v>
      </c>
      <c r="D25" s="19"/>
      <c r="E25" s="26">
        <v>5</v>
      </c>
      <c r="F25" s="16"/>
      <c r="G25" s="17"/>
      <c r="H25" s="17"/>
      <c r="I25" s="17"/>
      <c r="J25" s="38"/>
      <c r="K25" s="31"/>
      <c r="L25" s="30"/>
      <c r="M25" s="2"/>
      <c r="N25" s="2"/>
      <c r="O25" s="2"/>
    </row>
    <row r="26" spans="1:1020">
      <c r="A26" s="29">
        <v>4132</v>
      </c>
      <c r="B26" s="19" t="s">
        <v>23</v>
      </c>
      <c r="C26" s="26"/>
      <c r="D26" s="19"/>
      <c r="E26" s="26"/>
      <c r="F26" s="17"/>
      <c r="G26" s="17"/>
      <c r="H26" s="17"/>
      <c r="I26" s="17"/>
      <c r="J26" s="11"/>
      <c r="K26" s="30"/>
      <c r="L26" s="30"/>
      <c r="M26" s="2"/>
      <c r="N26" s="2"/>
      <c r="O26" s="2"/>
    </row>
    <row r="27" spans="1:1020">
      <c r="A27" s="29">
        <v>4171</v>
      </c>
      <c r="B27" s="19" t="s">
        <v>8</v>
      </c>
      <c r="C27" s="26">
        <v>38.4</v>
      </c>
      <c r="D27" s="19">
        <v>44.655999999999999</v>
      </c>
      <c r="E27" s="26">
        <v>35.799999999999997</v>
      </c>
      <c r="F27" s="17"/>
      <c r="G27" s="17"/>
      <c r="H27" s="17"/>
      <c r="I27" s="17"/>
      <c r="J27" s="38"/>
      <c r="K27" s="30"/>
      <c r="L27" s="30"/>
      <c r="M27" s="2"/>
      <c r="N27" s="2"/>
      <c r="O27" s="2"/>
    </row>
    <row r="28" spans="1:1020">
      <c r="A28" s="29">
        <v>4172</v>
      </c>
      <c r="B28" s="19" t="s">
        <v>9</v>
      </c>
      <c r="C28" s="26">
        <v>85.9</v>
      </c>
      <c r="D28" s="224">
        <f>56.043</f>
        <v>56.042999999999999</v>
      </c>
      <c r="E28" s="26">
        <v>74.400000000000006</v>
      </c>
      <c r="F28" s="17"/>
      <c r="G28" s="17"/>
      <c r="H28" s="17"/>
      <c r="I28" s="17"/>
      <c r="J28" s="41"/>
      <c r="K28" s="30"/>
      <c r="L28" s="30"/>
      <c r="M28" s="2"/>
      <c r="N28" s="2"/>
      <c r="O28" s="2"/>
    </row>
    <row r="29" spans="1:1020">
      <c r="A29" s="29">
        <v>4173</v>
      </c>
      <c r="B29" s="19" t="s">
        <v>10</v>
      </c>
      <c r="C29" s="26">
        <v>39</v>
      </c>
      <c r="D29" s="19">
        <v>45.186</v>
      </c>
      <c r="E29" s="26">
        <v>42.8</v>
      </c>
      <c r="F29" s="17"/>
      <c r="G29" s="17"/>
      <c r="H29" s="17"/>
      <c r="I29" s="17"/>
      <c r="J29" s="41"/>
      <c r="K29" s="30"/>
      <c r="L29" s="30"/>
      <c r="M29" s="2"/>
      <c r="N29" s="2"/>
      <c r="O29" s="2"/>
    </row>
    <row r="30" spans="1:1020">
      <c r="A30" s="29">
        <v>4174</v>
      </c>
      <c r="B30" s="19" t="s">
        <v>11</v>
      </c>
      <c r="C30" s="26">
        <v>118.9</v>
      </c>
      <c r="D30" s="19">
        <v>75.349999999999994</v>
      </c>
      <c r="E30" s="26">
        <v>77.400000000000006</v>
      </c>
      <c r="F30" s="17"/>
      <c r="G30" s="17"/>
      <c r="H30" s="17"/>
      <c r="I30" s="17"/>
      <c r="J30" s="38"/>
      <c r="K30" s="30"/>
      <c r="L30" s="30"/>
      <c r="M30" s="2"/>
      <c r="N30" s="2"/>
      <c r="O30" s="2"/>
    </row>
    <row r="31" spans="1:1020">
      <c r="A31" s="18">
        <v>4175</v>
      </c>
      <c r="B31" s="19" t="s">
        <v>12</v>
      </c>
      <c r="C31" s="26">
        <v>81.7</v>
      </c>
      <c r="D31" s="19">
        <v>76.38</v>
      </c>
      <c r="E31" s="26">
        <v>79.8</v>
      </c>
      <c r="F31" s="17"/>
      <c r="G31" s="17"/>
      <c r="H31" s="17"/>
      <c r="I31" s="17"/>
      <c r="J31" s="38"/>
      <c r="K31" s="30"/>
      <c r="L31" s="30"/>
      <c r="M31" s="2"/>
      <c r="N31" s="2"/>
      <c r="O31" s="2"/>
    </row>
    <row r="32" spans="1:1020">
      <c r="A32" s="29">
        <v>4177</v>
      </c>
      <c r="B32" s="19" t="s">
        <v>13</v>
      </c>
      <c r="C32" s="26">
        <v>15.5</v>
      </c>
      <c r="D32" s="21">
        <f>3.505+1.743+0.53+0.53+0.4</f>
        <v>6.7080000000000011</v>
      </c>
      <c r="E32" s="26">
        <v>16.5</v>
      </c>
      <c r="F32" s="223" t="s">
        <v>24</v>
      </c>
      <c r="G32" s="17"/>
      <c r="H32" s="17"/>
      <c r="I32" s="17"/>
      <c r="J32" s="41"/>
      <c r="K32" s="30" t="s">
        <v>25</v>
      </c>
      <c r="L32" s="30"/>
      <c r="M32" s="2"/>
      <c r="N32" s="2"/>
      <c r="O32" s="2"/>
    </row>
    <row r="33" spans="1:15">
      <c r="A33" s="29">
        <v>4178</v>
      </c>
      <c r="B33" s="19" t="s">
        <v>14</v>
      </c>
      <c r="C33" s="26">
        <v>72</v>
      </c>
      <c r="D33" s="19">
        <v>62.287999999999997</v>
      </c>
      <c r="E33" s="26">
        <v>76</v>
      </c>
      <c r="F33" s="17"/>
      <c r="G33" s="17"/>
      <c r="H33" s="17"/>
      <c r="I33" s="17"/>
      <c r="J33" s="41"/>
      <c r="K33" s="30"/>
      <c r="L33" s="30"/>
      <c r="M33" s="2"/>
      <c r="N33" s="2"/>
      <c r="O33" s="2"/>
    </row>
    <row r="34" spans="1:15">
      <c r="A34" s="18">
        <v>4180</v>
      </c>
      <c r="B34" s="19" t="s">
        <v>26</v>
      </c>
      <c r="C34" s="26">
        <v>1</v>
      </c>
      <c r="D34" s="19">
        <v>0</v>
      </c>
      <c r="E34" s="26">
        <v>1</v>
      </c>
      <c r="F34" s="17"/>
      <c r="G34" s="17"/>
      <c r="H34" s="17"/>
      <c r="I34" s="17"/>
      <c r="J34" s="41"/>
      <c r="K34" s="30"/>
      <c r="L34" s="30"/>
      <c r="M34" s="2"/>
      <c r="N34" s="2"/>
      <c r="O34" s="2"/>
    </row>
    <row r="35" spans="1:15">
      <c r="A35" s="18">
        <v>7610</v>
      </c>
      <c r="B35" s="19" t="s">
        <v>27</v>
      </c>
      <c r="C35" s="26">
        <v>30</v>
      </c>
      <c r="D35" s="19">
        <v>0</v>
      </c>
      <c r="E35" s="26">
        <v>10</v>
      </c>
      <c r="F35" s="42"/>
      <c r="G35" s="42"/>
      <c r="H35" s="42"/>
      <c r="I35" s="42"/>
      <c r="J35" s="41"/>
      <c r="K35" s="43"/>
      <c r="L35" s="30"/>
      <c r="M35" s="2"/>
      <c r="N35" s="2"/>
      <c r="O35" s="2"/>
    </row>
    <row r="36" spans="1:15">
      <c r="A36" s="29"/>
      <c r="B36" s="33"/>
      <c r="C36" s="26"/>
      <c r="D36" s="33"/>
      <c r="E36" s="26"/>
      <c r="F36" s="42"/>
      <c r="G36" s="42"/>
      <c r="H36" s="42"/>
      <c r="I36" s="42"/>
      <c r="J36" s="41"/>
      <c r="K36" s="30"/>
      <c r="L36" s="30"/>
      <c r="M36" s="2"/>
      <c r="N36" s="2"/>
      <c r="O36" s="2"/>
    </row>
    <row r="37" spans="1:15">
      <c r="A37" s="29"/>
      <c r="C37" s="26"/>
      <c r="E37" s="26"/>
      <c r="F37" s="17"/>
      <c r="G37" s="17"/>
      <c r="H37" s="17"/>
      <c r="I37" s="17"/>
      <c r="J37" s="41"/>
      <c r="K37" s="30"/>
      <c r="L37" s="30"/>
      <c r="M37" s="2"/>
      <c r="N37" s="2"/>
      <c r="O37" s="2"/>
    </row>
    <row r="38" spans="1:15">
      <c r="A38" s="18"/>
      <c r="B38" s="33"/>
      <c r="C38" s="26"/>
      <c r="D38" s="33"/>
      <c r="E38" s="26"/>
      <c r="F38" s="17"/>
      <c r="G38" s="17"/>
      <c r="H38" s="17"/>
      <c r="I38" s="17"/>
      <c r="J38" s="41"/>
      <c r="K38" s="30"/>
      <c r="L38" s="30"/>
      <c r="M38" s="2"/>
      <c r="N38" s="2"/>
      <c r="O38" s="2"/>
    </row>
    <row r="39" spans="1:15">
      <c r="A39" s="8" t="s">
        <v>28</v>
      </c>
      <c r="C39" s="44">
        <f>SUM(C23:C38)</f>
        <v>497.8</v>
      </c>
      <c r="D39" s="45">
        <f>SUM(D23:D38)</f>
        <v>369.81900000000002</v>
      </c>
      <c r="E39" s="44">
        <f>SUM(E23:E38)</f>
        <v>423.7</v>
      </c>
      <c r="F39" s="42"/>
      <c r="G39" s="42"/>
      <c r="H39" s="42"/>
      <c r="I39" s="42"/>
      <c r="J39" s="41"/>
      <c r="K39" s="30"/>
      <c r="L39" s="30"/>
      <c r="M39" s="2"/>
      <c r="N39" s="2"/>
      <c r="O39" s="2"/>
    </row>
    <row r="40" spans="1:15">
      <c r="E40" s="44"/>
      <c r="F40" s="37"/>
      <c r="G40" s="37"/>
      <c r="H40" s="37"/>
      <c r="I40" s="37"/>
      <c r="J40" s="38"/>
      <c r="K40" s="30"/>
      <c r="L40" s="30"/>
      <c r="M40" s="2"/>
      <c r="N40" s="2"/>
      <c r="O40" s="2"/>
    </row>
    <row r="41" spans="1:15">
      <c r="E41" s="44"/>
      <c r="F41" s="37"/>
      <c r="G41" s="37"/>
      <c r="H41" s="37"/>
      <c r="I41" s="37"/>
      <c r="J41" s="38"/>
      <c r="K41" s="30"/>
      <c r="L41" s="30"/>
      <c r="M41" s="2"/>
      <c r="N41" s="2"/>
      <c r="O41" s="2"/>
    </row>
    <row r="42" spans="1:15">
      <c r="C42" s="3" t="s">
        <v>5</v>
      </c>
      <c r="D42" s="10" t="s">
        <v>6</v>
      </c>
      <c r="E42" s="10" t="s">
        <v>5</v>
      </c>
      <c r="F42" s="37"/>
      <c r="G42" s="37"/>
      <c r="H42" s="37"/>
      <c r="I42" s="37"/>
      <c r="J42" s="38"/>
      <c r="K42" s="46"/>
      <c r="L42" s="46"/>
      <c r="M42" s="2"/>
      <c r="N42" s="2"/>
      <c r="O42" s="2"/>
    </row>
    <row r="43" spans="1:15">
      <c r="C43" s="3">
        <v>2017</v>
      </c>
      <c r="D43" s="15">
        <v>2016</v>
      </c>
      <c r="E43" s="15">
        <v>2016</v>
      </c>
      <c r="F43" s="37"/>
      <c r="G43" s="37"/>
      <c r="H43" s="37"/>
      <c r="I43" s="37"/>
      <c r="J43" s="38"/>
      <c r="K43" s="46"/>
      <c r="L43" s="46"/>
      <c r="M43" s="2"/>
      <c r="N43" s="2"/>
      <c r="O43" s="2"/>
    </row>
    <row r="44" spans="1:15">
      <c r="A44" s="47" t="s">
        <v>29</v>
      </c>
      <c r="B44" s="48"/>
      <c r="C44" s="49">
        <f>+C19-C39</f>
        <v>-104.69999999999999</v>
      </c>
      <c r="D44" s="50">
        <f>+D19-D39</f>
        <v>-5.6890000000000214</v>
      </c>
      <c r="E44" s="49">
        <f>+E19-E39</f>
        <v>-51.699999999999989</v>
      </c>
      <c r="F44" s="40"/>
      <c r="G44" s="40"/>
      <c r="H44" s="40"/>
      <c r="I44" s="40"/>
      <c r="J44" s="38"/>
      <c r="K44" s="2"/>
      <c r="L44" s="46"/>
      <c r="M44" s="2"/>
      <c r="N44" s="2"/>
      <c r="O44" s="2"/>
    </row>
    <row r="45" spans="1:15">
      <c r="F45" s="37"/>
      <c r="G45" s="37"/>
      <c r="H45" s="37"/>
      <c r="I45" s="37"/>
      <c r="J45" s="38"/>
      <c r="K45" s="2"/>
      <c r="L45" s="15"/>
      <c r="M45" s="2"/>
      <c r="N45" s="2"/>
      <c r="O45" s="2"/>
    </row>
    <row r="46" spans="1:15">
      <c r="A46" s="51" t="s">
        <v>30</v>
      </c>
      <c r="B46" s="2"/>
      <c r="C46" s="2"/>
      <c r="D46" s="2"/>
      <c r="E46" s="52"/>
      <c r="F46" s="37"/>
      <c r="G46" s="37"/>
      <c r="H46" s="37"/>
      <c r="I46" s="37"/>
      <c r="J46" s="38"/>
      <c r="L46" s="15"/>
      <c r="M46" s="2"/>
      <c r="N46" s="2"/>
      <c r="O46" s="2"/>
    </row>
    <row r="47" spans="1:15">
      <c r="A47" s="38"/>
      <c r="B47" s="2"/>
      <c r="C47" s="2"/>
      <c r="D47" s="2"/>
      <c r="E47" s="52"/>
      <c r="F47" s="37"/>
      <c r="G47" s="37"/>
      <c r="H47" s="37"/>
      <c r="I47" s="37"/>
      <c r="J47" s="11"/>
      <c r="K47" s="53"/>
      <c r="L47" s="53"/>
      <c r="M47" s="2"/>
      <c r="N47" s="2"/>
      <c r="O47" s="2"/>
    </row>
    <row r="48" spans="1:15">
      <c r="A48" s="38"/>
      <c r="B48" s="2"/>
      <c r="C48" s="2"/>
      <c r="D48" s="2"/>
      <c r="E48" s="52"/>
      <c r="F48" s="37"/>
      <c r="G48" s="37"/>
      <c r="H48" s="37"/>
      <c r="I48" s="37"/>
      <c r="J48" s="38"/>
      <c r="K48" s="13"/>
      <c r="L48" s="13"/>
      <c r="M48" s="2"/>
      <c r="N48" s="2"/>
      <c r="O48" s="2"/>
    </row>
    <row r="49" spans="1:15" ht="15">
      <c r="A49" s="38"/>
      <c r="B49" s="2"/>
      <c r="C49" s="2"/>
      <c r="D49" s="2"/>
      <c r="E49" s="2"/>
      <c r="F49" s="2"/>
      <c r="G49" s="2"/>
      <c r="H49" s="2"/>
      <c r="I49" s="2"/>
      <c r="J49" s="2"/>
      <c r="K49" s="2"/>
      <c r="L49" s="13"/>
      <c r="M49" s="2"/>
      <c r="N49" s="2"/>
      <c r="O49" s="2"/>
    </row>
    <row r="50" spans="1:15" ht="15">
      <c r="A50" s="3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15">
      <c r="A51" s="38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15">
      <c r="A52" s="3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5">
      <c r="A53" s="38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5" ht="15">
      <c r="A54" s="38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5" ht="15">
      <c r="A55" s="38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5" ht="15">
      <c r="A56" s="38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5" ht="15">
      <c r="A57" s="38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5" ht="15">
      <c r="A58" s="38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5" ht="15">
      <c r="A59" s="38"/>
      <c r="B59" s="40"/>
      <c r="C59" s="40"/>
      <c r="D59" s="40"/>
      <c r="E59" s="2"/>
      <c r="F59" s="2"/>
      <c r="G59" s="2"/>
      <c r="H59" s="2"/>
      <c r="I59" s="2"/>
      <c r="J59" s="2"/>
      <c r="K59" s="2"/>
    </row>
    <row r="60" spans="1:15" ht="15">
      <c r="A60" s="38"/>
      <c r="B60" s="40"/>
      <c r="C60" s="40"/>
      <c r="D60" s="40"/>
      <c r="E60" s="2"/>
      <c r="F60" s="2"/>
      <c r="G60" s="2"/>
      <c r="H60" s="2"/>
      <c r="I60" s="2"/>
      <c r="J60" s="2"/>
      <c r="K60" s="2"/>
    </row>
    <row r="61" spans="1:15" ht="15">
      <c r="A61" s="38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5" ht="15">
      <c r="A62" s="38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5" ht="15">
      <c r="A63" s="38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5" ht="15">
      <c r="A64" s="38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15">
      <c r="A65" s="38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15">
      <c r="A66" s="38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15">
      <c r="A67" s="38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15">
      <c r="A68" s="38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15">
      <c r="A69" s="38"/>
      <c r="B69" s="54"/>
      <c r="C69" s="54"/>
      <c r="D69" s="54"/>
      <c r="E69" s="2"/>
      <c r="F69" s="2"/>
      <c r="G69" s="2"/>
      <c r="H69" s="2"/>
      <c r="I69" s="2"/>
      <c r="J69" s="2"/>
      <c r="K69" s="2"/>
    </row>
    <row r="70" spans="1:11" ht="15">
      <c r="A70" s="38"/>
      <c r="B70" s="54"/>
      <c r="C70" s="54"/>
      <c r="D70" s="54"/>
      <c r="E70" s="2"/>
      <c r="F70" s="2"/>
      <c r="G70" s="2"/>
      <c r="H70" s="2"/>
      <c r="I70" s="2"/>
      <c r="J70" s="2"/>
      <c r="K70" s="2"/>
    </row>
    <row r="71" spans="1:11" ht="15">
      <c r="B71" s="54"/>
      <c r="C71" s="54"/>
      <c r="D71" s="54"/>
      <c r="E71" s="2"/>
      <c r="F71" s="2"/>
      <c r="G71" s="2"/>
      <c r="H71" s="2"/>
      <c r="I71" s="2"/>
      <c r="J71" s="2"/>
      <c r="K71" s="2"/>
    </row>
    <row r="72" spans="1:11" ht="15">
      <c r="A72" s="14"/>
      <c r="B72" s="54"/>
      <c r="C72" s="54"/>
      <c r="D72" s="54"/>
      <c r="E72" s="2"/>
      <c r="F72" s="2"/>
      <c r="G72" s="2"/>
      <c r="H72" s="2"/>
      <c r="I72" s="2"/>
      <c r="J72" s="2"/>
      <c r="K72" s="2"/>
    </row>
    <row r="73" spans="1:11" ht="15">
      <c r="A73" s="14"/>
      <c r="B73" s="54"/>
      <c r="C73" s="54"/>
      <c r="D73" s="54"/>
      <c r="E73" s="2"/>
      <c r="F73" s="2"/>
      <c r="G73" s="2"/>
      <c r="H73" s="2"/>
      <c r="I73" s="2"/>
      <c r="J73" s="2"/>
      <c r="K73" s="2"/>
    </row>
    <row r="74" spans="1:11" ht="15">
      <c r="B74" s="54"/>
      <c r="C74" s="54"/>
      <c r="D74" s="54"/>
      <c r="E74" s="2"/>
      <c r="F74" s="2"/>
      <c r="G74" s="2"/>
      <c r="H74" s="2"/>
      <c r="I74" s="2"/>
      <c r="J74" s="2"/>
      <c r="K74" s="2"/>
    </row>
    <row r="75" spans="1:11" ht="15"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15"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15"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15"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15"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15"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2:11" ht="15"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2:11" ht="15"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2:11" ht="15">
      <c r="B83" s="39"/>
      <c r="C83" s="39"/>
      <c r="D83" s="39"/>
      <c r="E83" s="2"/>
      <c r="F83" s="2"/>
      <c r="G83" s="2"/>
      <c r="H83" s="2"/>
      <c r="I83" s="2"/>
      <c r="J83" s="2"/>
      <c r="K83" s="2"/>
    </row>
    <row r="84" spans="2:11" ht="15">
      <c r="B84" s="39"/>
      <c r="C84" s="39"/>
      <c r="D84" s="39"/>
      <c r="E84" s="2"/>
      <c r="F84" s="2"/>
      <c r="G84" s="2"/>
      <c r="H84" s="2"/>
      <c r="I84" s="2"/>
      <c r="J84" s="2"/>
      <c r="K84" s="2"/>
    </row>
    <row r="85" spans="2:11" ht="15">
      <c r="B85" s="39"/>
      <c r="C85" s="39"/>
      <c r="D85" s="39"/>
      <c r="E85" s="2"/>
      <c r="F85" s="2"/>
      <c r="G85" s="2"/>
      <c r="H85" s="2"/>
      <c r="I85" s="2"/>
      <c r="J85" s="2"/>
      <c r="K85" s="2"/>
    </row>
    <row r="86" spans="2:11" ht="15">
      <c r="E86" s="2"/>
      <c r="F86" s="2"/>
      <c r="G86" s="2"/>
      <c r="H86" s="2"/>
      <c r="I86" s="2"/>
      <c r="J86" s="2"/>
      <c r="K86" s="2"/>
    </row>
    <row r="87" spans="2:11" ht="15">
      <c r="E87" s="2"/>
      <c r="F87" s="2"/>
      <c r="G87" s="2"/>
      <c r="H87" s="2"/>
      <c r="I87" s="2"/>
      <c r="J87" s="2"/>
      <c r="K87" s="2"/>
    </row>
    <row r="88" spans="2:11" ht="15">
      <c r="E88" s="2"/>
      <c r="F88" s="2"/>
      <c r="G88" s="2"/>
      <c r="H88" s="2"/>
      <c r="I88" s="2"/>
      <c r="J88" s="2"/>
      <c r="K88" s="2"/>
    </row>
    <row r="89" spans="2:11" ht="15">
      <c r="E89" s="2"/>
      <c r="F89" s="2"/>
      <c r="G89" s="2"/>
      <c r="H89" s="2"/>
      <c r="I89" s="2"/>
      <c r="J89" s="2"/>
      <c r="K89" s="2"/>
    </row>
    <row r="90" spans="2:11" ht="15">
      <c r="E90" s="2"/>
      <c r="F90" s="2"/>
      <c r="G90" s="2"/>
      <c r="H90" s="2"/>
      <c r="I90" s="2"/>
      <c r="J90" s="2"/>
      <c r="K90" s="2"/>
    </row>
    <row r="91" spans="2:11" ht="15">
      <c r="E91" s="2"/>
      <c r="F91" s="2"/>
      <c r="G91" s="2"/>
      <c r="H91" s="2"/>
      <c r="I91" s="2"/>
      <c r="J91" s="2"/>
      <c r="K91" s="2"/>
    </row>
    <row r="92" spans="2:11" ht="15">
      <c r="E92" s="2"/>
      <c r="F92" s="2"/>
      <c r="G92" s="2"/>
      <c r="H92" s="2"/>
      <c r="I92" s="2"/>
      <c r="J92" s="2"/>
      <c r="K92" s="2"/>
    </row>
    <row r="93" spans="2:11" ht="15"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2:11" ht="15"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2:11" ht="15">
      <c r="B95" s="54"/>
      <c r="C95" s="54"/>
      <c r="D95" s="54"/>
      <c r="E95" s="2"/>
      <c r="F95" s="2"/>
      <c r="G95" s="2"/>
      <c r="H95" s="2"/>
      <c r="I95" s="2"/>
      <c r="J95" s="2"/>
      <c r="K95" s="2"/>
    </row>
    <row r="96" spans="2:11" ht="15">
      <c r="B96" s="54"/>
      <c r="C96" s="54"/>
      <c r="D96" s="54"/>
      <c r="E96" s="2"/>
      <c r="F96" s="2"/>
      <c r="G96" s="2"/>
      <c r="H96" s="2"/>
      <c r="I96" s="2"/>
      <c r="J96" s="2"/>
      <c r="K96" s="2"/>
    </row>
    <row r="97" spans="2:11" ht="15">
      <c r="B97" s="54"/>
      <c r="C97" s="54"/>
      <c r="D97" s="54"/>
      <c r="E97" s="2"/>
      <c r="F97" s="2"/>
      <c r="G97" s="2"/>
      <c r="H97" s="2"/>
      <c r="I97" s="2"/>
      <c r="J97" s="2"/>
      <c r="K97" s="2"/>
    </row>
    <row r="98" spans="2:11" ht="15"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2:11" ht="15"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2:11" ht="15"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2:11" ht="15"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2:11" ht="15"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2:11" ht="15">
      <c r="B103" s="54"/>
      <c r="C103" s="54"/>
      <c r="D103" s="54"/>
      <c r="E103" s="2"/>
      <c r="F103" s="2"/>
      <c r="G103" s="2"/>
      <c r="H103" s="2"/>
      <c r="I103" s="2"/>
      <c r="J103" s="2"/>
      <c r="K103" s="2"/>
    </row>
    <row r="104" spans="2:11" ht="15"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2:11" ht="15">
      <c r="B105" s="54"/>
      <c r="C105" s="54"/>
      <c r="D105" s="54"/>
      <c r="E105" s="2"/>
      <c r="F105" s="2"/>
      <c r="G105" s="2"/>
      <c r="H105" s="2"/>
      <c r="I105" s="2"/>
      <c r="J105" s="2"/>
      <c r="K105" s="2"/>
    </row>
    <row r="106" spans="2:11" ht="15">
      <c r="E106" s="2"/>
      <c r="F106" s="2"/>
      <c r="G106" s="2"/>
      <c r="H106" s="2"/>
      <c r="I106" s="2"/>
      <c r="J106" s="2"/>
      <c r="K106" s="2"/>
    </row>
    <row r="107" spans="2:11" ht="15">
      <c r="B107" s="28"/>
      <c r="C107" s="28"/>
      <c r="D107" s="28"/>
      <c r="E107" s="2"/>
      <c r="F107" s="2"/>
      <c r="G107" s="2"/>
      <c r="H107" s="2"/>
      <c r="I107" s="2"/>
      <c r="J107" s="2"/>
      <c r="K107" s="2"/>
    </row>
    <row r="108" spans="2:11" ht="15">
      <c r="E108" s="2"/>
      <c r="F108" s="2"/>
      <c r="G108" s="2"/>
      <c r="H108" s="2"/>
      <c r="I108" s="2"/>
      <c r="J108" s="2"/>
      <c r="K108" s="2"/>
    </row>
    <row r="109" spans="2:11" ht="15">
      <c r="E109" s="2"/>
      <c r="F109" s="2"/>
      <c r="G109" s="2"/>
      <c r="H109" s="2"/>
      <c r="I109" s="2"/>
      <c r="J109" s="2"/>
      <c r="K109" s="2"/>
    </row>
    <row r="110" spans="2:11" ht="15">
      <c r="E110" s="2"/>
      <c r="F110" s="2"/>
      <c r="G110" s="2"/>
      <c r="H110" s="2"/>
      <c r="I110" s="2"/>
      <c r="J110" s="2"/>
      <c r="K110" s="2"/>
    </row>
    <row r="111" spans="2:11" ht="15">
      <c r="E111" s="2"/>
      <c r="F111" s="2"/>
      <c r="G111" s="2"/>
      <c r="H111" s="2"/>
      <c r="I111" s="2"/>
      <c r="J111" s="2"/>
      <c r="K111" s="2"/>
    </row>
    <row r="112" spans="2:11" ht="15">
      <c r="E112" s="2"/>
      <c r="F112" s="2"/>
      <c r="G112" s="2"/>
      <c r="H112" s="2"/>
      <c r="I112" s="2"/>
      <c r="J112" s="2"/>
      <c r="K112" s="2"/>
    </row>
    <row r="113" spans="1:11" ht="15">
      <c r="E113" s="2"/>
      <c r="F113" s="2"/>
      <c r="G113" s="2"/>
      <c r="H113" s="2"/>
      <c r="I113" s="2"/>
      <c r="J113" s="2"/>
      <c r="K113" s="2"/>
    </row>
    <row r="114" spans="1:11" ht="15">
      <c r="E114" s="2"/>
      <c r="F114" s="2"/>
      <c r="G114" s="2"/>
      <c r="H114" s="2"/>
      <c r="I114" s="2"/>
      <c r="J114" s="2"/>
      <c r="K114" s="2"/>
    </row>
    <row r="115" spans="1:11" ht="15"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ht="15">
      <c r="B116" s="54"/>
      <c r="C116" s="54"/>
      <c r="D116" s="54"/>
      <c r="E116" s="2"/>
      <c r="F116" s="2"/>
      <c r="G116" s="2"/>
      <c r="H116" s="2"/>
      <c r="I116" s="2"/>
      <c r="J116" s="2"/>
      <c r="K116" s="2"/>
    </row>
    <row r="117" spans="1:11" ht="15">
      <c r="E117" s="2"/>
      <c r="F117" s="2"/>
      <c r="G117" s="2"/>
      <c r="H117" s="2"/>
      <c r="I117" s="2"/>
      <c r="J117" s="2"/>
      <c r="K117" s="2"/>
    </row>
    <row r="118" spans="1:11" ht="15">
      <c r="B118" s="39"/>
      <c r="C118" s="39"/>
      <c r="D118" s="39"/>
      <c r="E118" s="2"/>
      <c r="F118" s="2"/>
      <c r="G118" s="2"/>
      <c r="H118" s="2"/>
      <c r="I118" s="2"/>
      <c r="J118" s="2"/>
      <c r="K118" s="2"/>
    </row>
    <row r="119" spans="1:11" ht="15">
      <c r="E119" s="2"/>
      <c r="F119" s="2"/>
      <c r="G119" s="2"/>
      <c r="H119" s="2"/>
      <c r="I119" s="2"/>
      <c r="J119" s="2"/>
      <c r="K119" s="2"/>
    </row>
    <row r="120" spans="1:11" ht="15">
      <c r="A120" s="38"/>
      <c r="B120" s="54"/>
      <c r="C120" s="54"/>
      <c r="D120" s="54"/>
      <c r="E120" s="2"/>
      <c r="F120" s="2"/>
      <c r="G120" s="2"/>
      <c r="H120" s="2"/>
      <c r="I120" s="2"/>
      <c r="J120" s="2"/>
      <c r="K120" s="2"/>
    </row>
    <row r="121" spans="1:11" ht="15">
      <c r="A121" s="38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ht="15">
      <c r="E122" s="2"/>
      <c r="F122" s="2"/>
      <c r="G122" s="2"/>
      <c r="H122" s="2"/>
      <c r="I122" s="2"/>
      <c r="J122" s="2"/>
      <c r="K122" s="2"/>
    </row>
    <row r="123" spans="1:11" ht="15">
      <c r="E123" s="2"/>
      <c r="F123" s="2"/>
      <c r="G123" s="2"/>
      <c r="H123" s="2"/>
      <c r="I123" s="2"/>
      <c r="J123" s="2"/>
      <c r="K123" s="2"/>
    </row>
    <row r="124" spans="1:11" ht="15">
      <c r="E124" s="2"/>
      <c r="F124" s="2"/>
      <c r="G124" s="2"/>
      <c r="H124" s="2"/>
      <c r="I124" s="2"/>
      <c r="J124" s="2"/>
      <c r="K124" s="2"/>
    </row>
    <row r="125" spans="1:11" ht="15">
      <c r="E125" s="2"/>
      <c r="F125" s="2"/>
      <c r="G125" s="2"/>
      <c r="H125" s="2"/>
      <c r="I125" s="2"/>
      <c r="J125" s="2"/>
      <c r="K125" s="2"/>
    </row>
    <row r="126" spans="1:11" ht="15">
      <c r="E126" s="2"/>
      <c r="F126" s="2"/>
      <c r="G126" s="2"/>
      <c r="H126" s="2"/>
      <c r="I126" s="2"/>
      <c r="J126" s="2"/>
      <c r="K126" s="2"/>
    </row>
    <row r="127" spans="1:11" ht="15">
      <c r="E127" s="2"/>
      <c r="F127" s="2"/>
      <c r="G127" s="2"/>
      <c r="H127" s="2"/>
      <c r="I127" s="2"/>
      <c r="J127" s="2"/>
      <c r="K127" s="2"/>
    </row>
    <row r="128" spans="1:11" ht="15">
      <c r="E128" s="2"/>
      <c r="F128" s="2"/>
      <c r="G128" s="2"/>
      <c r="H128" s="2"/>
      <c r="I128" s="2"/>
      <c r="J128" s="2"/>
      <c r="K128" s="2"/>
    </row>
    <row r="129" spans="5:11" ht="15">
      <c r="E129" s="2"/>
      <c r="F129" s="2"/>
      <c r="G129" s="2"/>
      <c r="H129" s="2"/>
      <c r="I129" s="2"/>
      <c r="J129" s="2"/>
      <c r="K129" s="2"/>
    </row>
    <row r="130" spans="5:11" ht="15">
      <c r="E130" s="2"/>
      <c r="F130" s="2"/>
      <c r="G130" s="2"/>
      <c r="H130" s="2"/>
      <c r="I130" s="2"/>
      <c r="J130" s="2"/>
      <c r="K130" s="2"/>
    </row>
    <row r="131" spans="5:11" ht="15">
      <c r="E131" s="2"/>
      <c r="F131" s="2"/>
      <c r="G131" s="2"/>
      <c r="H131" s="2"/>
      <c r="I131" s="2"/>
      <c r="J131" s="2"/>
      <c r="K131" s="2"/>
    </row>
    <row r="132" spans="5:11" ht="15">
      <c r="E132" s="2"/>
      <c r="F132" s="2"/>
      <c r="G132" s="2"/>
      <c r="H132" s="2"/>
      <c r="I132" s="2"/>
      <c r="J132" s="2"/>
      <c r="K132" s="2"/>
    </row>
    <row r="133" spans="5:11" ht="15">
      <c r="E133" s="2"/>
      <c r="F133" s="2"/>
      <c r="G133" s="2"/>
      <c r="H133" s="2"/>
      <c r="I133" s="2"/>
      <c r="J133" s="2"/>
      <c r="K133" s="2"/>
    </row>
    <row r="134" spans="5:11" ht="15">
      <c r="E134" s="2"/>
      <c r="F134" s="2"/>
      <c r="G134" s="2"/>
      <c r="H134" s="2"/>
      <c r="I134" s="2"/>
      <c r="J134" s="2"/>
      <c r="K134" s="2"/>
    </row>
    <row r="135" spans="5:11" ht="15">
      <c r="E135" s="2"/>
      <c r="F135" s="2"/>
      <c r="G135" s="2"/>
      <c r="H135" s="2"/>
      <c r="I135" s="2"/>
      <c r="J135" s="2"/>
      <c r="K135" s="2"/>
    </row>
    <row r="136" spans="5:11" ht="15">
      <c r="E136" s="2"/>
      <c r="F136" s="2"/>
      <c r="G136" s="2"/>
      <c r="H136" s="2"/>
      <c r="I136" s="2"/>
      <c r="J136" s="2"/>
      <c r="K136" s="2"/>
    </row>
    <row r="137" spans="5:11" ht="15">
      <c r="E137" s="2"/>
      <c r="F137" s="2"/>
      <c r="G137" s="2"/>
      <c r="H137" s="2"/>
      <c r="I137" s="2"/>
      <c r="J137" s="2"/>
      <c r="K137" s="2"/>
    </row>
    <row r="138" spans="5:11" ht="15">
      <c r="E138" s="2"/>
      <c r="F138" s="2"/>
      <c r="G138" s="2"/>
      <c r="H138" s="2"/>
      <c r="I138" s="2"/>
      <c r="J138" s="2"/>
      <c r="K138" s="2"/>
    </row>
    <row r="139" spans="5:11" ht="15">
      <c r="E139" s="2"/>
      <c r="F139" s="2"/>
      <c r="G139" s="2"/>
      <c r="H139" s="2"/>
      <c r="I139" s="2"/>
      <c r="J139" s="2"/>
      <c r="K139" s="2"/>
    </row>
    <row r="140" spans="5:11" ht="15">
      <c r="E140" s="2"/>
      <c r="F140" s="2"/>
      <c r="G140" s="2"/>
      <c r="H140" s="2"/>
      <c r="I140" s="2"/>
      <c r="J140" s="2"/>
      <c r="K140" s="2"/>
    </row>
    <row r="141" spans="5:11" ht="15">
      <c r="E141" s="2"/>
      <c r="F141" s="2"/>
      <c r="G141" s="2"/>
      <c r="H141" s="2"/>
      <c r="I141" s="2"/>
      <c r="J141" s="2"/>
      <c r="K141" s="2"/>
    </row>
    <row r="142" spans="5:11" ht="15">
      <c r="E142" s="2"/>
      <c r="F142" s="2"/>
      <c r="G142" s="2"/>
      <c r="H142" s="2"/>
      <c r="I142" s="2"/>
      <c r="J142" s="2"/>
      <c r="K142" s="2"/>
    </row>
    <row r="143" spans="5:11" ht="15">
      <c r="E143" s="2"/>
      <c r="F143" s="2"/>
      <c r="G143" s="2"/>
      <c r="H143" s="2"/>
      <c r="I143" s="2"/>
      <c r="J143" s="2"/>
      <c r="K143" s="2"/>
    </row>
    <row r="144" spans="5:11" ht="15">
      <c r="E144" s="2"/>
      <c r="F144" s="2"/>
      <c r="G144" s="2"/>
      <c r="H144" s="2"/>
      <c r="I144" s="2"/>
      <c r="J144" s="2"/>
      <c r="K144" s="2"/>
    </row>
    <row r="145" spans="5:11" ht="15">
      <c r="E145" s="2"/>
      <c r="F145" s="2"/>
      <c r="G145" s="2"/>
      <c r="H145" s="2"/>
      <c r="I145" s="2"/>
      <c r="J145" s="2"/>
      <c r="K145" s="2"/>
    </row>
    <row r="146" spans="5:11" ht="15">
      <c r="E146" s="2"/>
      <c r="F146" s="2"/>
      <c r="G146" s="2"/>
      <c r="H146" s="2"/>
      <c r="I146" s="2"/>
      <c r="J146" s="2"/>
      <c r="K146" s="2"/>
    </row>
    <row r="147" spans="5:11" ht="15">
      <c r="E147" s="2"/>
      <c r="F147" s="2"/>
      <c r="G147" s="2"/>
      <c r="H147" s="2"/>
      <c r="I147" s="2"/>
      <c r="J147" s="2"/>
      <c r="K147" s="2"/>
    </row>
    <row r="148" spans="5:11" ht="15">
      <c r="E148" s="2"/>
      <c r="F148" s="2"/>
      <c r="G148" s="2"/>
      <c r="H148" s="2"/>
      <c r="I148" s="2"/>
      <c r="J148" s="2"/>
      <c r="K148" s="2"/>
    </row>
    <row r="149" spans="5:11" ht="15">
      <c r="E149" s="2"/>
      <c r="F149" s="2"/>
      <c r="G149" s="2"/>
      <c r="H149" s="2"/>
      <c r="I149" s="2"/>
      <c r="J149" s="2"/>
      <c r="K149" s="2"/>
    </row>
    <row r="150" spans="5:11" ht="15">
      <c r="E150" s="2"/>
      <c r="F150" s="2"/>
      <c r="G150" s="2"/>
      <c r="H150" s="2"/>
      <c r="I150" s="2"/>
      <c r="J150" s="2"/>
      <c r="K150" s="2"/>
    </row>
    <row r="151" spans="5:11" ht="15">
      <c r="E151" s="2"/>
      <c r="F151" s="2"/>
      <c r="G151" s="2"/>
      <c r="H151" s="2"/>
      <c r="I151" s="2"/>
      <c r="J151" s="2"/>
      <c r="K151" s="2"/>
    </row>
    <row r="152" spans="5:11" ht="15">
      <c r="E152" s="2"/>
      <c r="F152" s="2"/>
      <c r="G152" s="2"/>
      <c r="H152" s="2"/>
      <c r="I152" s="2"/>
      <c r="J152" s="2"/>
      <c r="K152" s="2"/>
    </row>
    <row r="153" spans="5:11" ht="15">
      <c r="E153" s="2"/>
      <c r="F153" s="2"/>
      <c r="G153" s="2"/>
      <c r="H153" s="2"/>
      <c r="I153" s="2"/>
      <c r="J153" s="2"/>
      <c r="K153" s="2"/>
    </row>
    <row r="154" spans="5:11" ht="15">
      <c r="E154" s="2"/>
      <c r="F154" s="2"/>
      <c r="G154" s="2"/>
      <c r="H154" s="2"/>
      <c r="I154" s="2"/>
      <c r="J154" s="2"/>
      <c r="K154" s="2"/>
    </row>
    <row r="155" spans="5:11" ht="15">
      <c r="E155" s="2"/>
      <c r="F155" s="2"/>
      <c r="G155" s="2"/>
      <c r="H155" s="2"/>
      <c r="I155" s="2"/>
      <c r="J155" s="2"/>
      <c r="K155" s="2"/>
    </row>
    <row r="156" spans="5:11" ht="15">
      <c r="E156" s="2"/>
      <c r="F156" s="2"/>
      <c r="G156" s="2"/>
      <c r="H156" s="2"/>
      <c r="I156" s="2"/>
      <c r="J156" s="2"/>
      <c r="K156" s="2"/>
    </row>
    <row r="157" spans="5:11" ht="15">
      <c r="E157" s="2"/>
      <c r="F157" s="2"/>
      <c r="G157" s="2"/>
      <c r="H157" s="2"/>
      <c r="I157" s="2"/>
      <c r="J157" s="2"/>
      <c r="K157" s="2"/>
    </row>
    <row r="158" spans="5:11" ht="15">
      <c r="E158" s="2"/>
      <c r="F158" s="2"/>
      <c r="G158" s="2"/>
      <c r="H158" s="2"/>
      <c r="I158" s="2"/>
      <c r="J158" s="2"/>
      <c r="K158" s="2"/>
    </row>
    <row r="159" spans="5:11" ht="15">
      <c r="E159" s="2"/>
      <c r="F159" s="2"/>
      <c r="G159" s="2"/>
      <c r="H159" s="2"/>
      <c r="I159" s="2"/>
      <c r="J159" s="2"/>
      <c r="K159" s="2"/>
    </row>
    <row r="160" spans="5:11" ht="15">
      <c r="E160" s="2"/>
      <c r="F160" s="2"/>
      <c r="G160" s="2"/>
      <c r="H160" s="2"/>
      <c r="I160" s="2"/>
      <c r="J160" s="2"/>
      <c r="K160" s="2"/>
    </row>
    <row r="161" spans="5:11" ht="15">
      <c r="E161" s="2"/>
      <c r="F161" s="2"/>
      <c r="G161" s="2"/>
      <c r="H161" s="2"/>
      <c r="I161" s="2"/>
      <c r="J161" s="2"/>
      <c r="K161" s="2"/>
    </row>
    <row r="162" spans="5:11" ht="15">
      <c r="E162" s="2"/>
      <c r="F162" s="2"/>
      <c r="G162" s="2"/>
      <c r="H162" s="2"/>
      <c r="I162" s="2"/>
      <c r="J162" s="2"/>
      <c r="K162" s="2"/>
    </row>
    <row r="163" spans="5:11" ht="15">
      <c r="E163" s="2"/>
      <c r="F163" s="2"/>
      <c r="G163" s="2"/>
      <c r="H163" s="2"/>
      <c r="I163" s="2"/>
      <c r="J163" s="2"/>
      <c r="K163" s="2"/>
    </row>
    <row r="164" spans="5:11" ht="15">
      <c r="E164" s="2"/>
      <c r="F164" s="2"/>
      <c r="G164" s="2"/>
      <c r="H164" s="2"/>
      <c r="I164" s="2"/>
      <c r="J164" s="2"/>
      <c r="K164" s="2"/>
    </row>
    <row r="165" spans="5:11" ht="15">
      <c r="E165" s="2"/>
      <c r="F165" s="2"/>
      <c r="G165" s="2"/>
      <c r="H165" s="2"/>
      <c r="I165" s="2"/>
      <c r="J165" s="2"/>
      <c r="K165" s="2"/>
    </row>
    <row r="166" spans="5:11" ht="15">
      <c r="E166" s="2"/>
      <c r="F166" s="2"/>
      <c r="G166" s="2"/>
      <c r="H166" s="2"/>
      <c r="I166" s="2"/>
      <c r="J166" s="2"/>
      <c r="K166" s="2"/>
    </row>
    <row r="167" spans="5:11" ht="15">
      <c r="E167" s="2"/>
      <c r="F167" s="2"/>
      <c r="G167" s="2"/>
      <c r="H167" s="2"/>
      <c r="I167" s="2"/>
      <c r="J167" s="2"/>
      <c r="K167" s="2"/>
    </row>
    <row r="168" spans="5:11" ht="15">
      <c r="E168" s="2"/>
      <c r="F168" s="2"/>
      <c r="G168" s="2"/>
      <c r="H168" s="2"/>
      <c r="I168" s="2"/>
      <c r="J168" s="2"/>
      <c r="K168" s="2"/>
    </row>
    <row r="169" spans="5:11" ht="15">
      <c r="E169" s="2"/>
      <c r="F169" s="2"/>
      <c r="G169" s="2"/>
      <c r="H169" s="2"/>
      <c r="I169" s="2"/>
      <c r="J169" s="2"/>
      <c r="K169" s="2"/>
    </row>
    <row r="170" spans="5:11" ht="15">
      <c r="E170" s="2"/>
      <c r="F170" s="2"/>
      <c r="G170" s="2"/>
      <c r="H170" s="2"/>
      <c r="I170" s="2"/>
      <c r="J170" s="2"/>
      <c r="K170" s="2"/>
    </row>
    <row r="171" spans="5:11" ht="15">
      <c r="E171" s="2"/>
      <c r="F171" s="2"/>
      <c r="G171" s="2"/>
      <c r="H171" s="2"/>
      <c r="I171" s="2"/>
      <c r="J171" s="2"/>
      <c r="K171" s="2"/>
    </row>
    <row r="172" spans="5:11" ht="15">
      <c r="E172" s="2"/>
      <c r="F172" s="2"/>
      <c r="G172" s="2"/>
      <c r="H172" s="2"/>
      <c r="I172" s="2"/>
      <c r="J172" s="2"/>
      <c r="K172" s="2"/>
    </row>
    <row r="173" spans="5:11" ht="15">
      <c r="E173" s="2"/>
      <c r="F173" s="2"/>
      <c r="G173" s="2"/>
      <c r="H173" s="2"/>
      <c r="I173" s="2"/>
      <c r="J173" s="2"/>
      <c r="K173" s="2"/>
    </row>
    <row r="174" spans="5:11" ht="15">
      <c r="E174" s="2"/>
      <c r="F174" s="2"/>
      <c r="G174" s="2"/>
      <c r="H174" s="2"/>
      <c r="I174" s="2"/>
      <c r="J174" s="2"/>
      <c r="K174" s="2"/>
    </row>
  </sheetData>
  <pageMargins left="0.70000000000000007" right="0.70000000000000007" top="1.1437007874015745" bottom="1.1437007874015745" header="0.74999999999999989" footer="0.74999999999999989"/>
  <pageSetup paperSize="9" fitToWidth="0" fitToHeight="0" orientation="landscape" r:id="rId1"/>
  <headerFooter alignWithMargins="0"/>
  <ignoredErrors>
    <ignoredError sqref="E19 C1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2:AMJ129"/>
  <sheetViews>
    <sheetView topLeftCell="D81" workbookViewId="0">
      <selection activeCell="K110" sqref="K110"/>
    </sheetView>
  </sheetViews>
  <sheetFormatPr defaultRowHeight="15"/>
  <cols>
    <col min="1" max="2" width="8.125" style="4" customWidth="1"/>
    <col min="3" max="3" width="9.25" style="4" customWidth="1"/>
    <col min="4" max="4" width="90" style="4" customWidth="1"/>
    <col min="5" max="5" width="13.75" style="4" customWidth="1"/>
    <col min="6" max="6" width="10.125" style="4" customWidth="1"/>
    <col min="7" max="7" width="7.625" style="4" customWidth="1"/>
    <col min="8" max="8" width="8.125" style="4" customWidth="1"/>
    <col min="9" max="9" width="10.875" style="4" customWidth="1"/>
    <col min="10" max="1024" width="8.125" style="4" customWidth="1"/>
  </cols>
  <sheetData>
    <row r="2" spans="3:13" ht="23.25">
      <c r="D2" s="55" t="s">
        <v>31</v>
      </c>
      <c r="E2" s="4" t="s">
        <v>32</v>
      </c>
      <c r="F2" s="56"/>
    </row>
    <row r="3" spans="3:13">
      <c r="D3" s="57" t="s">
        <v>33</v>
      </c>
      <c r="E3" s="56"/>
      <c r="F3" s="56"/>
      <c r="I3" s="58" t="s">
        <v>34</v>
      </c>
      <c r="K3" s="59" t="s">
        <v>35</v>
      </c>
      <c r="L3" s="60"/>
      <c r="M3" s="4" t="s">
        <v>36</v>
      </c>
    </row>
    <row r="4" spans="3:13">
      <c r="D4" s="57" t="s">
        <v>37</v>
      </c>
      <c r="E4" s="56"/>
      <c r="F4" s="56"/>
      <c r="I4" s="58"/>
      <c r="K4" s="60"/>
      <c r="L4" s="60"/>
    </row>
    <row r="5" spans="3:13">
      <c r="E5" s="56"/>
      <c r="F5" s="56"/>
      <c r="I5" s="58"/>
      <c r="K5" s="60"/>
      <c r="L5" s="60"/>
    </row>
    <row r="6" spans="3:13">
      <c r="E6" s="56"/>
      <c r="F6" s="56"/>
      <c r="G6" s="2"/>
      <c r="I6" s="58"/>
      <c r="K6" s="60"/>
      <c r="L6" s="60"/>
    </row>
    <row r="7" spans="3:13" ht="20.25">
      <c r="D7" s="61" t="s">
        <v>38</v>
      </c>
      <c r="E7" s="56"/>
      <c r="F7" s="56"/>
      <c r="I7" s="58"/>
      <c r="K7" s="60"/>
      <c r="L7" s="60"/>
    </row>
    <row r="8" spans="3:13">
      <c r="E8" s="56"/>
      <c r="F8" s="56"/>
      <c r="I8" s="58"/>
      <c r="K8" s="60"/>
      <c r="L8" s="60"/>
    </row>
    <row r="9" spans="3:13" ht="18">
      <c r="C9" s="62" t="s">
        <v>39</v>
      </c>
      <c r="D9" s="63" t="s">
        <v>40</v>
      </c>
      <c r="E9" s="64" t="s">
        <v>41</v>
      </c>
      <c r="F9" s="64" t="s">
        <v>42</v>
      </c>
      <c r="G9" s="62" t="s">
        <v>4</v>
      </c>
      <c r="I9" s="65">
        <f>G18</f>
        <v>-6017.5999999999985</v>
      </c>
      <c r="J9" s="4">
        <v>1500</v>
      </c>
      <c r="K9" s="59" t="s">
        <v>43</v>
      </c>
      <c r="L9" s="66">
        <v>36</v>
      </c>
    </row>
    <row r="10" spans="3:13">
      <c r="C10" s="67">
        <v>301</v>
      </c>
      <c r="D10" s="25" t="s">
        <v>44</v>
      </c>
      <c r="E10" s="68"/>
      <c r="F10" s="69">
        <v>-10000</v>
      </c>
      <c r="G10" s="70">
        <f t="shared" ref="G10:G17" si="0">SUM(E10:F10)</f>
        <v>-10000</v>
      </c>
      <c r="I10" s="58"/>
      <c r="K10" s="60"/>
      <c r="L10" s="60"/>
    </row>
    <row r="11" spans="3:13">
      <c r="C11" s="67">
        <v>302</v>
      </c>
      <c r="D11" s="71" t="s">
        <v>45</v>
      </c>
      <c r="E11" s="72"/>
      <c r="F11" s="73">
        <v>-3000</v>
      </c>
      <c r="G11" s="70">
        <f t="shared" si="0"/>
        <v>-3000</v>
      </c>
      <c r="I11" s="58"/>
      <c r="K11" s="60"/>
      <c r="L11" s="60"/>
    </row>
    <row r="12" spans="3:13">
      <c r="C12" s="67">
        <v>303</v>
      </c>
      <c r="D12" s="25" t="s">
        <v>46</v>
      </c>
      <c r="E12" s="72"/>
      <c r="F12" s="72">
        <f>-L9*450*1.04</f>
        <v>-16848</v>
      </c>
      <c r="G12" s="70">
        <f t="shared" si="0"/>
        <v>-16848</v>
      </c>
      <c r="I12" s="58"/>
      <c r="K12" s="60"/>
      <c r="L12" s="60"/>
    </row>
    <row r="13" spans="3:13">
      <c r="C13" s="74">
        <v>304</v>
      </c>
      <c r="D13" s="25" t="s">
        <v>47</v>
      </c>
      <c r="E13" s="72"/>
      <c r="F13" s="72">
        <f>-6*450*1.04</f>
        <v>-2808</v>
      </c>
      <c r="G13" s="75">
        <f t="shared" si="0"/>
        <v>-2808</v>
      </c>
      <c r="I13" s="58"/>
      <c r="K13" s="60"/>
      <c r="L13" s="60"/>
    </row>
    <row r="14" spans="3:13">
      <c r="C14" s="74">
        <v>305</v>
      </c>
      <c r="D14" s="19" t="s">
        <v>48</v>
      </c>
      <c r="E14" s="68"/>
      <c r="F14" s="68">
        <f>-(L9*70*2+500)*1.04</f>
        <v>-5761.6</v>
      </c>
      <c r="G14" s="76">
        <f t="shared" si="0"/>
        <v>-5761.6</v>
      </c>
      <c r="I14" s="58"/>
      <c r="K14" s="60"/>
      <c r="L14" s="60"/>
    </row>
    <row r="15" spans="3:13">
      <c r="C15" s="74">
        <v>306</v>
      </c>
      <c r="D15" s="19" t="s">
        <v>49</v>
      </c>
      <c r="E15" s="68">
        <f>L9*M17</f>
        <v>32400</v>
      </c>
      <c r="F15" s="68"/>
      <c r="G15" s="77">
        <f t="shared" si="0"/>
        <v>32400</v>
      </c>
      <c r="I15" s="58"/>
      <c r="K15" s="60"/>
      <c r="L15" s="60"/>
    </row>
    <row r="16" spans="3:13">
      <c r="C16" s="74">
        <v>307</v>
      </c>
      <c r="D16" s="33" t="s">
        <v>50</v>
      </c>
      <c r="E16" s="68">
        <v>0</v>
      </c>
      <c r="F16" s="68"/>
      <c r="G16" s="77">
        <f t="shared" si="0"/>
        <v>0</v>
      </c>
      <c r="I16" s="58"/>
      <c r="K16" s="60"/>
      <c r="L16" s="60"/>
    </row>
    <row r="17" spans="3:13">
      <c r="C17" s="74">
        <v>308</v>
      </c>
      <c r="D17" s="33" t="s">
        <v>51</v>
      </c>
      <c r="E17" s="68"/>
      <c r="F17" s="68">
        <v>0</v>
      </c>
      <c r="G17" s="77">
        <f t="shared" si="0"/>
        <v>0</v>
      </c>
      <c r="I17" s="58"/>
      <c r="K17" s="59" t="s">
        <v>52</v>
      </c>
      <c r="L17" s="78">
        <f>(ABS(SUM(F10:F17))-I9)/L9</f>
        <v>1234.3111111111111</v>
      </c>
      <c r="M17" s="28">
        <v>900</v>
      </c>
    </row>
    <row r="18" spans="3:13">
      <c r="D18" s="79"/>
      <c r="E18" s="80">
        <f>SUM(E10:E17)</f>
        <v>32400</v>
      </c>
      <c r="F18" s="80">
        <f>SUM(F10:F17)</f>
        <v>-38417.599999999999</v>
      </c>
      <c r="G18" s="81">
        <f>SUM(G10:G17)</f>
        <v>-6017.5999999999985</v>
      </c>
      <c r="I18" s="58"/>
      <c r="K18" s="59" t="s">
        <v>53</v>
      </c>
      <c r="L18" s="82">
        <f>-(F14+F17)/L9</f>
        <v>160.04444444444445</v>
      </c>
    </row>
    <row r="19" spans="3:13">
      <c r="E19" s="56"/>
      <c r="F19" s="56"/>
      <c r="I19" s="58"/>
      <c r="K19" s="60"/>
      <c r="L19" s="60"/>
    </row>
    <row r="20" spans="3:13">
      <c r="E20" s="56"/>
      <c r="F20" s="56"/>
      <c r="I20" s="58"/>
      <c r="K20" s="60"/>
      <c r="L20" s="60"/>
    </row>
    <row r="21" spans="3:13" ht="20.25">
      <c r="D21" s="61" t="s">
        <v>54</v>
      </c>
      <c r="E21" s="56"/>
      <c r="F21" s="56"/>
      <c r="I21" s="58"/>
      <c r="K21" s="60"/>
      <c r="L21" s="60"/>
    </row>
    <row r="22" spans="3:13">
      <c r="E22" s="56"/>
      <c r="F22" s="56"/>
      <c r="I22" s="58"/>
      <c r="K22" s="60"/>
      <c r="L22" s="60"/>
    </row>
    <row r="23" spans="3:13" ht="18">
      <c r="C23" s="62" t="s">
        <v>39</v>
      </c>
      <c r="D23" s="63" t="s">
        <v>40</v>
      </c>
      <c r="E23" s="64" t="s">
        <v>41</v>
      </c>
      <c r="F23" s="64" t="s">
        <v>42</v>
      </c>
      <c r="G23" s="62" t="s">
        <v>4</v>
      </c>
      <c r="I23" s="58">
        <f>G32</f>
        <v>-7900</v>
      </c>
      <c r="J23" s="4">
        <v>18500</v>
      </c>
      <c r="K23" s="59" t="s">
        <v>43</v>
      </c>
      <c r="L23" s="66">
        <v>60</v>
      </c>
    </row>
    <row r="24" spans="3:13">
      <c r="C24" s="67">
        <v>401</v>
      </c>
      <c r="D24" s="71" t="s">
        <v>55</v>
      </c>
      <c r="E24" s="72"/>
      <c r="F24" s="83">
        <v>-25000</v>
      </c>
      <c r="G24" s="84">
        <f t="shared" ref="G24:G30" si="1">SUM(E24:F24)</f>
        <v>-25000</v>
      </c>
      <c r="I24" s="58"/>
      <c r="K24" s="60"/>
      <c r="L24" s="60"/>
    </row>
    <row r="25" spans="3:13">
      <c r="C25" s="67">
        <v>402</v>
      </c>
      <c r="D25" s="71" t="s">
        <v>56</v>
      </c>
      <c r="E25" s="72"/>
      <c r="F25" s="72">
        <v>-3000</v>
      </c>
      <c r="G25" s="85">
        <f t="shared" si="1"/>
        <v>-3000</v>
      </c>
      <c r="I25" s="58"/>
      <c r="K25" s="60"/>
      <c r="L25" s="60"/>
    </row>
    <row r="26" spans="3:13">
      <c r="C26" s="74">
        <v>403</v>
      </c>
      <c r="D26" s="19" t="s">
        <v>57</v>
      </c>
      <c r="E26" s="68"/>
      <c r="F26" s="86">
        <f>-700*60</f>
        <v>-42000</v>
      </c>
      <c r="G26" s="87">
        <f t="shared" si="1"/>
        <v>-42000</v>
      </c>
      <c r="I26" s="58"/>
      <c r="K26" s="60"/>
      <c r="L26" s="60"/>
    </row>
    <row r="27" spans="3:13">
      <c r="C27" s="74">
        <v>404</v>
      </c>
      <c r="D27" s="33" t="s">
        <v>58</v>
      </c>
      <c r="E27" s="68"/>
      <c r="F27" s="68">
        <f>-700*6</f>
        <v>-4200</v>
      </c>
      <c r="G27" s="88">
        <f t="shared" si="1"/>
        <v>-4200</v>
      </c>
      <c r="I27" s="58"/>
      <c r="K27" s="60"/>
      <c r="L27" s="60"/>
    </row>
    <row r="28" spans="3:13">
      <c r="C28" s="74">
        <v>405</v>
      </c>
      <c r="D28" s="33" t="s">
        <v>59</v>
      </c>
      <c r="E28" s="68"/>
      <c r="F28" s="68">
        <f>-L23*65*3</f>
        <v>-11700</v>
      </c>
      <c r="G28" s="87">
        <f t="shared" si="1"/>
        <v>-11700</v>
      </c>
      <c r="I28" s="58"/>
      <c r="K28" s="60"/>
      <c r="L28" s="60"/>
    </row>
    <row r="29" spans="3:13">
      <c r="C29" s="74">
        <v>406</v>
      </c>
      <c r="D29" s="19" t="s">
        <v>60</v>
      </c>
      <c r="E29" s="68">
        <f>L23*M31</f>
        <v>78000</v>
      </c>
      <c r="F29" s="68"/>
      <c r="G29" s="87">
        <f t="shared" si="1"/>
        <v>78000</v>
      </c>
      <c r="I29" s="58"/>
      <c r="K29" s="60"/>
      <c r="L29" s="60"/>
    </row>
    <row r="30" spans="3:13">
      <c r="C30" s="74">
        <v>407</v>
      </c>
      <c r="D30" s="33" t="s">
        <v>50</v>
      </c>
      <c r="E30" s="68">
        <v>0</v>
      </c>
      <c r="F30" s="68"/>
      <c r="G30" s="87">
        <f t="shared" si="1"/>
        <v>0</v>
      </c>
      <c r="I30" s="58"/>
      <c r="K30" s="60"/>
      <c r="L30" s="60"/>
    </row>
    <row r="31" spans="3:13">
      <c r="C31" s="74"/>
      <c r="D31" s="19"/>
      <c r="E31" s="68"/>
      <c r="F31" s="68"/>
      <c r="G31" s="87"/>
      <c r="I31" s="58"/>
      <c r="K31" s="59" t="s">
        <v>52</v>
      </c>
      <c r="L31" s="78">
        <f>(ABS(SUM(F24:F31))-I23)/L23</f>
        <v>1563.3333333333333</v>
      </c>
      <c r="M31" s="4">
        <v>1300</v>
      </c>
    </row>
    <row r="32" spans="3:13">
      <c r="D32" s="79"/>
      <c r="E32" s="80">
        <f>SUM(E24:E31)</f>
        <v>78000</v>
      </c>
      <c r="F32" s="80">
        <f>SUM(F24:F31)</f>
        <v>-85900</v>
      </c>
      <c r="G32" s="89">
        <f>SUM(G24:G31)</f>
        <v>-7900</v>
      </c>
      <c r="I32" s="58"/>
      <c r="K32" s="59" t="s">
        <v>53</v>
      </c>
      <c r="L32" s="60">
        <v>195</v>
      </c>
    </row>
    <row r="33" spans="3:13">
      <c r="E33" s="56"/>
      <c r="F33" s="56"/>
      <c r="G33" s="2"/>
      <c r="I33" s="58"/>
      <c r="K33" s="60"/>
      <c r="L33" s="60"/>
    </row>
    <row r="34" spans="3:13">
      <c r="E34" s="56"/>
      <c r="F34" s="56"/>
      <c r="I34" s="58"/>
      <c r="K34" s="60"/>
      <c r="L34" s="60"/>
    </row>
    <row r="35" spans="3:13" ht="20.25">
      <c r="D35" s="61" t="s">
        <v>61</v>
      </c>
      <c r="E35" s="56"/>
      <c r="F35" s="56"/>
      <c r="I35" s="58"/>
      <c r="K35" s="60"/>
      <c r="L35" s="60"/>
    </row>
    <row r="36" spans="3:13">
      <c r="E36" s="56"/>
      <c r="F36" s="56"/>
      <c r="I36" s="58"/>
      <c r="K36" s="60"/>
      <c r="L36" s="60"/>
    </row>
    <row r="37" spans="3:13" ht="18">
      <c r="C37" s="62" t="s">
        <v>39</v>
      </c>
      <c r="D37" s="63" t="s">
        <v>40</v>
      </c>
      <c r="E37" s="64" t="s">
        <v>41</v>
      </c>
      <c r="F37" s="64" t="s">
        <v>42</v>
      </c>
      <c r="G37" s="62" t="s">
        <v>4</v>
      </c>
      <c r="I37" s="58">
        <f>G49</f>
        <v>-5035</v>
      </c>
      <c r="J37" s="4">
        <v>13500</v>
      </c>
      <c r="K37" s="59" t="s">
        <v>43</v>
      </c>
      <c r="L37" s="66">
        <v>40</v>
      </c>
    </row>
    <row r="38" spans="3:13">
      <c r="C38" s="67">
        <v>501</v>
      </c>
      <c r="D38" s="71" t="s">
        <v>62</v>
      </c>
      <c r="E38" s="90"/>
      <c r="F38" s="91">
        <v>-12000</v>
      </c>
      <c r="G38" s="84">
        <f t="shared" ref="G38:G45" si="2">SUM(E38:F38)</f>
        <v>-12000</v>
      </c>
      <c r="I38" s="58"/>
      <c r="K38" s="60"/>
      <c r="L38" s="60"/>
    </row>
    <row r="39" spans="3:13">
      <c r="C39" s="67">
        <v>502</v>
      </c>
      <c r="D39" s="71" t="s">
        <v>56</v>
      </c>
      <c r="E39" s="90"/>
      <c r="F39" s="90">
        <v>-3000</v>
      </c>
      <c r="G39" s="84">
        <f t="shared" si="2"/>
        <v>-3000</v>
      </c>
      <c r="I39" s="58"/>
      <c r="K39" s="60"/>
      <c r="L39" s="60"/>
    </row>
    <row r="40" spans="3:13">
      <c r="C40" s="67">
        <v>503</v>
      </c>
      <c r="D40" s="71" t="s">
        <v>63</v>
      </c>
      <c r="E40" s="90"/>
      <c r="F40" s="90">
        <f>-5000</f>
        <v>-5000</v>
      </c>
      <c r="G40" s="84">
        <f t="shared" si="2"/>
        <v>-5000</v>
      </c>
      <c r="I40" s="58"/>
      <c r="K40" s="60"/>
      <c r="L40" s="60"/>
    </row>
    <row r="41" spans="3:13">
      <c r="C41" s="74">
        <v>504</v>
      </c>
      <c r="D41" s="92" t="s">
        <v>64</v>
      </c>
      <c r="E41" s="93"/>
      <c r="F41" s="93">
        <v>-10000</v>
      </c>
      <c r="G41" s="87">
        <f t="shared" si="2"/>
        <v>-10000</v>
      </c>
      <c r="I41" s="58"/>
      <c r="K41" s="60"/>
      <c r="L41" s="60"/>
    </row>
    <row r="42" spans="3:13">
      <c r="C42" s="74">
        <v>506</v>
      </c>
      <c r="D42" s="92" t="s">
        <v>65</v>
      </c>
      <c r="E42" s="93"/>
      <c r="F42" s="93">
        <f>-20*4*2</f>
        <v>-160</v>
      </c>
      <c r="G42" s="87">
        <f t="shared" si="2"/>
        <v>-160</v>
      </c>
      <c r="I42" s="58"/>
      <c r="K42" s="60"/>
      <c r="L42" s="60"/>
    </row>
    <row r="43" spans="3:13">
      <c r="C43" s="74">
        <v>507</v>
      </c>
      <c r="D43" s="92" t="s">
        <v>66</v>
      </c>
      <c r="E43" s="93"/>
      <c r="F43" s="93">
        <f>-250*4</f>
        <v>-1000</v>
      </c>
      <c r="G43" s="87">
        <f t="shared" si="2"/>
        <v>-1000</v>
      </c>
      <c r="I43" s="58"/>
      <c r="K43" s="60"/>
      <c r="L43" s="60"/>
    </row>
    <row r="44" spans="3:13">
      <c r="C44" s="74">
        <v>508</v>
      </c>
      <c r="D44" s="92" t="s">
        <v>67</v>
      </c>
      <c r="E44" s="93"/>
      <c r="F44" s="93">
        <f>-175*45</f>
        <v>-7875</v>
      </c>
      <c r="G44" s="87">
        <f t="shared" si="2"/>
        <v>-7875</v>
      </c>
      <c r="I44" s="58"/>
      <c r="K44" s="60"/>
      <c r="L44" s="60"/>
    </row>
    <row r="45" spans="3:13">
      <c r="C45" s="74">
        <v>509</v>
      </c>
      <c r="D45" s="92" t="s">
        <v>68</v>
      </c>
      <c r="E45" s="93">
        <f>L37*M48</f>
        <v>34000</v>
      </c>
      <c r="F45" s="93"/>
      <c r="G45" s="87">
        <f t="shared" si="2"/>
        <v>34000</v>
      </c>
      <c r="I45" s="58"/>
      <c r="K45" s="60"/>
      <c r="L45" s="60"/>
    </row>
    <row r="46" spans="3:13">
      <c r="C46" s="74">
        <v>510</v>
      </c>
      <c r="D46" s="94" t="s">
        <v>69</v>
      </c>
      <c r="E46" s="93">
        <v>0</v>
      </c>
      <c r="F46" s="33"/>
      <c r="G46" s="74">
        <v>0</v>
      </c>
      <c r="I46" s="58"/>
      <c r="K46" s="60"/>
      <c r="L46" s="60"/>
    </row>
    <row r="47" spans="3:13">
      <c r="C47" s="95">
        <v>511</v>
      </c>
      <c r="D47" s="96" t="s">
        <v>70</v>
      </c>
      <c r="E47" s="97">
        <v>0</v>
      </c>
      <c r="F47" s="98"/>
      <c r="G47" s="99">
        <v>0</v>
      </c>
      <c r="I47" s="58"/>
      <c r="K47" s="60"/>
      <c r="L47" s="60"/>
    </row>
    <row r="48" spans="3:13">
      <c r="C48" s="74"/>
      <c r="D48" s="19"/>
      <c r="E48" s="93"/>
      <c r="F48" s="93"/>
      <c r="G48" s="87">
        <f>SUM(E48:F48)</f>
        <v>0</v>
      </c>
      <c r="I48" s="58"/>
      <c r="K48" s="59" t="s">
        <v>52</v>
      </c>
      <c r="L48" s="78">
        <f>(ABS(SUM(F38:F48))-I37)/L37</f>
        <v>1101.75</v>
      </c>
      <c r="M48" s="4">
        <v>850</v>
      </c>
    </row>
    <row r="49" spans="3:12">
      <c r="E49" s="56">
        <f>SUM(E38:E48)</f>
        <v>34000</v>
      </c>
      <c r="F49" s="56">
        <f>SUM(F38:F48)</f>
        <v>-39035</v>
      </c>
      <c r="G49" s="89">
        <f>SUM(G38:G48)</f>
        <v>-5035</v>
      </c>
      <c r="I49" s="58"/>
      <c r="K49" s="59" t="s">
        <v>71</v>
      </c>
      <c r="L49" s="60"/>
    </row>
    <row r="50" spans="3:12">
      <c r="E50" s="56"/>
      <c r="F50" s="56"/>
      <c r="G50" s="2"/>
      <c r="I50" s="58"/>
      <c r="K50" s="60"/>
      <c r="L50" s="60"/>
    </row>
    <row r="51" spans="3:12">
      <c r="E51" s="56"/>
      <c r="F51" s="56"/>
      <c r="I51" s="58"/>
      <c r="K51" s="60"/>
      <c r="L51" s="60"/>
    </row>
    <row r="52" spans="3:12" ht="20.25">
      <c r="D52" s="61" t="s">
        <v>72</v>
      </c>
      <c r="E52" s="56"/>
      <c r="F52" s="56"/>
      <c r="I52" s="58"/>
      <c r="K52" s="60"/>
      <c r="L52" s="60"/>
    </row>
    <row r="53" spans="3:12">
      <c r="E53" s="56"/>
      <c r="F53" s="56"/>
      <c r="I53" s="58"/>
      <c r="K53" s="60"/>
      <c r="L53" s="60"/>
    </row>
    <row r="54" spans="3:12" ht="18">
      <c r="C54" s="62" t="s">
        <v>39</v>
      </c>
      <c r="D54" s="63" t="s">
        <v>40</v>
      </c>
      <c r="E54" s="64" t="s">
        <v>41</v>
      </c>
      <c r="F54" s="64" t="s">
        <v>42</v>
      </c>
      <c r="G54" s="62" t="s">
        <v>4</v>
      </c>
      <c r="I54" s="58">
        <f>G67</f>
        <v>-54880</v>
      </c>
      <c r="J54" s="4">
        <v>13500</v>
      </c>
      <c r="K54" s="59" t="s">
        <v>43</v>
      </c>
      <c r="L54" s="66">
        <v>32</v>
      </c>
    </row>
    <row r="55" spans="3:12">
      <c r="C55" s="67">
        <v>601</v>
      </c>
      <c r="D55" s="25" t="s">
        <v>73</v>
      </c>
      <c r="E55" s="90"/>
      <c r="F55" s="91">
        <v>-54000</v>
      </c>
      <c r="G55" s="84">
        <f>SUM(E55:F55)</f>
        <v>-54000</v>
      </c>
      <c r="I55" s="58"/>
      <c r="K55" s="60"/>
      <c r="L55" s="60"/>
    </row>
    <row r="56" spans="3:12">
      <c r="C56" s="67">
        <v>602</v>
      </c>
      <c r="D56" s="25" t="s">
        <v>74</v>
      </c>
      <c r="E56" s="90"/>
      <c r="F56" s="90">
        <v>-5000</v>
      </c>
      <c r="G56" s="84">
        <f>SUM(E56:F56)</f>
        <v>-5000</v>
      </c>
      <c r="I56" s="58"/>
      <c r="K56" s="60"/>
      <c r="L56" s="60"/>
    </row>
    <row r="57" spans="3:12">
      <c r="C57" s="74">
        <v>603</v>
      </c>
      <c r="D57" s="19" t="s">
        <v>75</v>
      </c>
      <c r="E57" s="93"/>
      <c r="F57" s="93">
        <f>-800*32</f>
        <v>-25600</v>
      </c>
      <c r="G57" s="87">
        <f>SUM(E57:F57)</f>
        <v>-25600</v>
      </c>
      <c r="I57" s="58"/>
      <c r="K57" s="60"/>
      <c r="L57" s="60"/>
    </row>
    <row r="58" spans="3:12">
      <c r="C58" s="74">
        <v>604</v>
      </c>
      <c r="D58" s="19" t="s">
        <v>76</v>
      </c>
      <c r="E58" s="93"/>
      <c r="F58" s="93">
        <f>-800*4</f>
        <v>-3200</v>
      </c>
      <c r="G58" s="87">
        <f>SUM(E58:F58)</f>
        <v>-3200</v>
      </c>
      <c r="I58" s="58"/>
      <c r="K58" s="60"/>
      <c r="L58" s="60"/>
    </row>
    <row r="59" spans="3:12">
      <c r="C59" s="74">
        <v>605</v>
      </c>
      <c r="D59" s="33" t="s">
        <v>77</v>
      </c>
      <c r="E59" s="93"/>
      <c r="F59" s="93">
        <f>-610*L54</f>
        <v>-19520</v>
      </c>
      <c r="G59" s="87">
        <f>F59</f>
        <v>-19520</v>
      </c>
      <c r="I59" s="58"/>
      <c r="K59" s="60"/>
      <c r="L59" s="60"/>
    </row>
    <row r="60" spans="3:12">
      <c r="C60" s="95">
        <v>606</v>
      </c>
      <c r="D60" s="33" t="s">
        <v>78</v>
      </c>
      <c r="E60" s="93"/>
      <c r="F60" s="93">
        <f>-1000*8</f>
        <v>-8000</v>
      </c>
      <c r="G60" s="87">
        <f>F60</f>
        <v>-8000</v>
      </c>
      <c r="I60" s="58"/>
      <c r="K60" s="60"/>
      <c r="L60" s="60"/>
    </row>
    <row r="61" spans="3:12">
      <c r="C61" s="95">
        <v>607</v>
      </c>
      <c r="D61" s="33" t="s">
        <v>79</v>
      </c>
      <c r="E61" s="93"/>
      <c r="F61" s="93">
        <f>-390*4</f>
        <v>-1560</v>
      </c>
      <c r="G61" s="87">
        <f>SUM(E61:F61)</f>
        <v>-1560</v>
      </c>
      <c r="I61" s="58"/>
      <c r="K61" s="60"/>
      <c r="L61" s="60"/>
    </row>
    <row r="62" spans="3:12">
      <c r="C62" s="95">
        <v>608</v>
      </c>
      <c r="D62" s="19" t="s">
        <v>80</v>
      </c>
      <c r="E62" s="100">
        <v>64000</v>
      </c>
      <c r="F62" s="93"/>
      <c r="G62" s="87">
        <f>SUM(E62:F62)</f>
        <v>64000</v>
      </c>
      <c r="H62" s="4">
        <v>80000</v>
      </c>
      <c r="I62" s="58"/>
      <c r="K62" s="60"/>
      <c r="L62" s="60"/>
    </row>
    <row r="63" spans="3:12">
      <c r="C63" s="95">
        <v>609</v>
      </c>
      <c r="D63" s="96" t="s">
        <v>81</v>
      </c>
      <c r="E63" s="98">
        <v>0</v>
      </c>
      <c r="F63" s="98"/>
      <c r="G63" s="99"/>
      <c r="I63" s="58"/>
      <c r="K63" s="60"/>
      <c r="L63" s="60"/>
    </row>
    <row r="64" spans="3:12">
      <c r="C64" s="95"/>
      <c r="D64" s="96"/>
      <c r="E64" s="97"/>
      <c r="F64" s="98"/>
      <c r="G64" s="99"/>
      <c r="I64" s="58"/>
      <c r="K64" s="60"/>
      <c r="L64" s="60"/>
    </row>
    <row r="65" spans="3:13">
      <c r="C65" s="95"/>
      <c r="D65" s="96"/>
      <c r="E65" s="97"/>
      <c r="F65" s="98"/>
      <c r="G65" s="99"/>
      <c r="I65" s="58"/>
      <c r="K65" s="60"/>
      <c r="L65" s="60"/>
    </row>
    <row r="66" spans="3:13">
      <c r="C66" s="74">
        <v>610</v>
      </c>
      <c r="D66" s="19" t="s">
        <v>82</v>
      </c>
      <c r="E66" s="93"/>
      <c r="F66" s="93">
        <v>-2000</v>
      </c>
      <c r="G66" s="87">
        <f>SUM(E66:F66)</f>
        <v>-2000</v>
      </c>
      <c r="I66" s="58"/>
      <c r="K66" s="59" t="s">
        <v>52</v>
      </c>
      <c r="L66" s="78">
        <f>(ABS(SUM(F55:F66))-I54)/L54</f>
        <v>5430</v>
      </c>
      <c r="M66" s="4">
        <v>2500</v>
      </c>
    </row>
    <row r="67" spans="3:13">
      <c r="D67" s="28" t="s">
        <v>83</v>
      </c>
      <c r="E67" s="56">
        <f>SUM(E55:E66)</f>
        <v>64000</v>
      </c>
      <c r="F67" s="56">
        <f>SUM(F55:F66)</f>
        <v>-118880</v>
      </c>
      <c r="G67" s="89">
        <f>SUM(G55:G66)</f>
        <v>-54880</v>
      </c>
      <c r="I67" s="58"/>
      <c r="K67" s="59" t="s">
        <v>71</v>
      </c>
      <c r="L67" s="60"/>
    </row>
    <row r="68" spans="3:13">
      <c r="D68" s="28"/>
      <c r="E68" s="56"/>
      <c r="F68" s="56"/>
      <c r="I68" s="58"/>
      <c r="K68" s="60"/>
      <c r="L68" s="60"/>
    </row>
    <row r="69" spans="3:13">
      <c r="E69" s="56"/>
      <c r="F69" s="56"/>
      <c r="I69" s="58"/>
      <c r="K69" s="60"/>
      <c r="L69" s="60"/>
    </row>
    <row r="70" spans="3:13">
      <c r="D70" s="28"/>
      <c r="E70" s="56"/>
      <c r="F70" s="56"/>
      <c r="I70" s="58"/>
      <c r="K70" s="60"/>
      <c r="L70" s="60"/>
    </row>
    <row r="71" spans="3:13" ht="20.25">
      <c r="D71" s="61" t="s">
        <v>84</v>
      </c>
      <c r="E71" s="56"/>
      <c r="F71" s="56"/>
      <c r="I71" s="58"/>
      <c r="K71" s="60"/>
      <c r="L71" s="60"/>
    </row>
    <row r="72" spans="3:13">
      <c r="E72" s="56"/>
      <c r="F72" s="56"/>
      <c r="I72" s="58"/>
      <c r="K72" s="60"/>
      <c r="L72" s="60"/>
    </row>
    <row r="73" spans="3:13" ht="18">
      <c r="C73" s="62" t="s">
        <v>39</v>
      </c>
      <c r="D73" s="63" t="s">
        <v>40</v>
      </c>
      <c r="E73" s="64" t="s">
        <v>41</v>
      </c>
      <c r="F73" s="64" t="s">
        <v>42</v>
      </c>
      <c r="G73" s="62" t="s">
        <v>4</v>
      </c>
      <c r="I73" s="58">
        <f>G78</f>
        <v>0</v>
      </c>
      <c r="J73" s="4">
        <v>4800</v>
      </c>
      <c r="K73" s="60"/>
      <c r="L73" s="60">
        <v>53</v>
      </c>
    </row>
    <row r="74" spans="3:13">
      <c r="C74" s="67">
        <v>701</v>
      </c>
      <c r="D74" s="71" t="s">
        <v>85</v>
      </c>
      <c r="E74" s="90"/>
      <c r="F74" s="90">
        <v>0</v>
      </c>
      <c r="G74" s="84">
        <f>SUM(E74:F74)</f>
        <v>0</v>
      </c>
      <c r="I74" s="58"/>
      <c r="K74" s="60"/>
      <c r="L74" s="60"/>
    </row>
    <row r="75" spans="3:13">
      <c r="C75" s="101">
        <v>702</v>
      </c>
      <c r="D75" s="102" t="s">
        <v>86</v>
      </c>
      <c r="E75" s="103"/>
      <c r="F75" s="103">
        <v>-30000</v>
      </c>
      <c r="G75" s="84">
        <f>SUM(E75:F75)</f>
        <v>-30000</v>
      </c>
      <c r="I75" s="58"/>
      <c r="K75" s="60"/>
      <c r="L75" s="60"/>
    </row>
    <row r="76" spans="3:13">
      <c r="C76" s="95">
        <v>703</v>
      </c>
      <c r="D76" s="96" t="s">
        <v>87</v>
      </c>
      <c r="E76" s="98"/>
      <c r="F76" s="98">
        <v>-51700</v>
      </c>
      <c r="G76" s="84">
        <f>SUM(E76:F76)</f>
        <v>-51700</v>
      </c>
      <c r="I76" s="58"/>
      <c r="K76" s="60"/>
      <c r="L76" s="60"/>
    </row>
    <row r="77" spans="3:13">
      <c r="C77" s="74">
        <v>704</v>
      </c>
      <c r="D77" s="33" t="s">
        <v>88</v>
      </c>
      <c r="E77" s="93">
        <f>-SUM(F74:F77)</f>
        <v>81700</v>
      </c>
      <c r="F77" s="93"/>
      <c r="G77" s="84">
        <f>SUM(E77:F77)</f>
        <v>81700</v>
      </c>
      <c r="I77" s="58"/>
      <c r="K77" s="60"/>
      <c r="L77" s="60"/>
    </row>
    <row r="78" spans="3:13">
      <c r="E78" s="56">
        <f>SUM(E74:E77)</f>
        <v>81700</v>
      </c>
      <c r="F78" s="56">
        <f>SUM(F74:F77)</f>
        <v>-81700</v>
      </c>
      <c r="G78" s="89">
        <f>SUM(G74:G77)</f>
        <v>0</v>
      </c>
      <c r="I78" s="58"/>
      <c r="K78" s="60"/>
      <c r="L78" s="60">
        <f>G77/L73</f>
        <v>1541.5094339622642</v>
      </c>
    </row>
    <row r="79" spans="3:13">
      <c r="E79" s="56"/>
      <c r="F79" s="56"/>
      <c r="G79" s="2"/>
      <c r="I79" s="58"/>
      <c r="K79" s="60"/>
      <c r="L79" s="60"/>
    </row>
    <row r="80" spans="3:13">
      <c r="E80" s="56"/>
      <c r="F80" s="56"/>
      <c r="I80" s="58"/>
      <c r="K80" s="60"/>
      <c r="L80" s="60"/>
    </row>
    <row r="81" spans="3:12" ht="20.25">
      <c r="D81" s="61" t="s">
        <v>89</v>
      </c>
      <c r="E81" s="56"/>
      <c r="F81" s="56"/>
      <c r="I81" s="58"/>
      <c r="K81" s="60"/>
      <c r="L81" s="60"/>
    </row>
    <row r="82" spans="3:12">
      <c r="E82" s="56"/>
      <c r="F82" s="56"/>
      <c r="I82" s="58"/>
      <c r="K82" s="60"/>
      <c r="L82" s="60"/>
    </row>
    <row r="83" spans="3:12" ht="18">
      <c r="C83" s="62" t="s">
        <v>39</v>
      </c>
      <c r="D83" s="63" t="s">
        <v>40</v>
      </c>
      <c r="E83" s="64" t="s">
        <v>41</v>
      </c>
      <c r="F83" s="64" t="s">
        <v>42</v>
      </c>
      <c r="G83" s="62" t="s">
        <v>4</v>
      </c>
      <c r="I83" s="58">
        <f>G92</f>
        <v>-11400</v>
      </c>
      <c r="J83" s="4">
        <v>1000</v>
      </c>
      <c r="K83" s="60"/>
      <c r="L83" s="60"/>
    </row>
    <row r="84" spans="3:12">
      <c r="C84" s="67">
        <v>4020</v>
      </c>
      <c r="D84" s="25" t="s">
        <v>90</v>
      </c>
      <c r="E84" s="90"/>
      <c r="F84" s="90">
        <v>-2400</v>
      </c>
      <c r="G84" s="84">
        <f t="shared" ref="G84:G89" si="3">SUM(E84:F84)</f>
        <v>-2400</v>
      </c>
      <c r="I84" s="58"/>
      <c r="K84" s="60"/>
      <c r="L84" s="60"/>
    </row>
    <row r="85" spans="3:12">
      <c r="C85" s="74">
        <v>4020</v>
      </c>
      <c r="D85" s="33" t="s">
        <v>91</v>
      </c>
      <c r="E85" s="93"/>
      <c r="F85" s="93">
        <v>-500</v>
      </c>
      <c r="G85" s="87">
        <f t="shared" si="3"/>
        <v>-500</v>
      </c>
      <c r="I85" s="58"/>
      <c r="K85" s="60"/>
      <c r="L85" s="60"/>
    </row>
    <row r="86" spans="3:12">
      <c r="C86" s="74" t="s">
        <v>92</v>
      </c>
      <c r="D86" s="33" t="s">
        <v>93</v>
      </c>
      <c r="E86" s="93"/>
      <c r="F86" s="93">
        <v>0</v>
      </c>
      <c r="G86" s="87">
        <f t="shared" si="3"/>
        <v>0</v>
      </c>
      <c r="I86" s="58"/>
      <c r="K86" s="60"/>
      <c r="L86" s="60"/>
    </row>
    <row r="87" spans="3:12">
      <c r="C87" s="67">
        <v>4015</v>
      </c>
      <c r="D87" s="33" t="s">
        <v>94</v>
      </c>
      <c r="E87" s="93"/>
      <c r="F87" s="93">
        <v>-7500</v>
      </c>
      <c r="G87" s="87">
        <f t="shared" si="3"/>
        <v>-7500</v>
      </c>
      <c r="I87" s="58"/>
      <c r="K87" s="60"/>
      <c r="L87" s="60"/>
    </row>
    <row r="88" spans="3:12">
      <c r="C88" s="74" t="s">
        <v>92</v>
      </c>
      <c r="D88" s="104" t="s">
        <v>95</v>
      </c>
      <c r="E88" s="98">
        <v>5000</v>
      </c>
      <c r="F88" s="98"/>
      <c r="G88" s="87">
        <f t="shared" si="3"/>
        <v>5000</v>
      </c>
      <c r="I88" s="58"/>
      <c r="K88" s="60"/>
      <c r="L88" s="60"/>
    </row>
    <row r="89" spans="3:12">
      <c r="C89" s="95">
        <v>4030</v>
      </c>
      <c r="D89" s="96" t="s">
        <v>96</v>
      </c>
      <c r="E89" s="98"/>
      <c r="F89" s="98">
        <v>-5000</v>
      </c>
      <c r="G89" s="87">
        <f t="shared" si="3"/>
        <v>-5000</v>
      </c>
      <c r="I89" s="58"/>
      <c r="K89" s="60"/>
      <c r="L89" s="60"/>
    </row>
    <row r="90" spans="3:12">
      <c r="C90" s="95"/>
      <c r="D90" s="96"/>
      <c r="E90" s="98"/>
      <c r="F90" s="98"/>
      <c r="G90" s="99"/>
      <c r="I90" s="58"/>
      <c r="K90" s="60"/>
      <c r="L90" s="60"/>
    </row>
    <row r="91" spans="3:12">
      <c r="C91" s="74">
        <v>4180</v>
      </c>
      <c r="D91" s="19" t="s">
        <v>97</v>
      </c>
      <c r="E91" s="93"/>
      <c r="F91" s="93">
        <v>-1000</v>
      </c>
      <c r="G91" s="87">
        <f>SUM(E91:F91)</f>
        <v>-1000</v>
      </c>
      <c r="I91" s="58"/>
      <c r="K91" s="60"/>
      <c r="L91" s="60"/>
    </row>
    <row r="92" spans="3:12">
      <c r="E92" s="56"/>
      <c r="F92" s="56"/>
      <c r="G92" s="89">
        <f>SUM(G84:G91)</f>
        <v>-11400</v>
      </c>
      <c r="I92" s="58"/>
      <c r="K92" s="60"/>
      <c r="L92" s="60"/>
    </row>
    <row r="93" spans="3:12">
      <c r="E93" s="56"/>
      <c r="F93" s="56"/>
      <c r="G93" s="2"/>
      <c r="I93" s="58"/>
    </row>
    <row r="94" spans="3:12">
      <c r="E94" s="56"/>
      <c r="F94" s="56"/>
      <c r="G94" s="2"/>
      <c r="I94" s="58"/>
    </row>
    <row r="95" spans="3:12">
      <c r="E95" s="56"/>
      <c r="F95" s="56" t="s">
        <v>98</v>
      </c>
      <c r="G95" s="105">
        <f>G18+G32+G49+G78+G67+G92</f>
        <v>-85232.6</v>
      </c>
      <c r="I95" s="58"/>
    </row>
    <row r="97" spans="3:9" ht="20.25">
      <c r="D97" s="61" t="s">
        <v>99</v>
      </c>
      <c r="E97" s="56"/>
      <c r="F97" s="56"/>
    </row>
    <row r="98" spans="3:9">
      <c r="E98" s="56"/>
      <c r="F98" s="56"/>
    </row>
    <row r="99" spans="3:9" ht="18">
      <c r="C99" s="62" t="s">
        <v>39</v>
      </c>
      <c r="D99" s="63" t="s">
        <v>40</v>
      </c>
      <c r="E99" s="64" t="s">
        <v>41</v>
      </c>
      <c r="F99" s="64" t="s">
        <v>42</v>
      </c>
      <c r="G99" s="62" t="s">
        <v>4</v>
      </c>
      <c r="I99" s="58">
        <f>G104</f>
        <v>10500</v>
      </c>
    </row>
    <row r="100" spans="3:9">
      <c r="C100" s="67">
        <v>3177</v>
      </c>
      <c r="D100" s="25" t="s">
        <v>100</v>
      </c>
      <c r="E100" s="90">
        <v>26000</v>
      </c>
      <c r="F100" s="90"/>
      <c r="G100" s="84">
        <f>SUM(E100:F100)</f>
        <v>26000</v>
      </c>
      <c r="I100" s="58"/>
    </row>
    <row r="101" spans="3:9">
      <c r="C101" s="74">
        <v>4177</v>
      </c>
      <c r="D101" s="19" t="s">
        <v>101</v>
      </c>
      <c r="E101" s="93"/>
      <c r="F101" s="93">
        <v>-15000</v>
      </c>
      <c r="G101" s="87">
        <f>SUM(E101:F101)</f>
        <v>-15000</v>
      </c>
      <c r="I101" s="58"/>
    </row>
    <row r="102" spans="3:9">
      <c r="C102" s="74">
        <v>4177</v>
      </c>
      <c r="D102" s="19" t="s">
        <v>102</v>
      </c>
      <c r="E102" s="93"/>
      <c r="F102" s="93">
        <v>-500</v>
      </c>
      <c r="G102" s="87">
        <f>SUM(E102:F102)</f>
        <v>-500</v>
      </c>
      <c r="I102" s="58"/>
    </row>
    <row r="103" spans="3:9">
      <c r="C103" s="74"/>
      <c r="D103" s="19"/>
      <c r="E103" s="93"/>
      <c r="F103" s="93"/>
      <c r="G103" s="87"/>
      <c r="I103" s="58"/>
    </row>
    <row r="104" spans="3:9">
      <c r="E104" s="56"/>
      <c r="F104" s="56"/>
      <c r="G104" s="106">
        <f>SUM(G100:G103)</f>
        <v>10500</v>
      </c>
      <c r="I104" s="58"/>
    </row>
    <row r="105" spans="3:9">
      <c r="I105" s="58"/>
    </row>
    <row r="106" spans="3:9">
      <c r="I106" s="58"/>
    </row>
    <row r="107" spans="3:9">
      <c r="I107" s="58"/>
    </row>
    <row r="108" spans="3:9" ht="20.25">
      <c r="D108" s="61" t="s">
        <v>103</v>
      </c>
      <c r="E108" s="56"/>
      <c r="F108" s="56"/>
      <c r="I108" s="58"/>
    </row>
    <row r="109" spans="3:9">
      <c r="E109" s="56"/>
      <c r="F109" s="56"/>
      <c r="I109" s="58"/>
    </row>
    <row r="110" spans="3:9" ht="18">
      <c r="C110" s="62" t="s">
        <v>39</v>
      </c>
      <c r="D110" s="63" t="s">
        <v>40</v>
      </c>
      <c r="E110" s="64" t="s">
        <v>41</v>
      </c>
      <c r="F110" s="64" t="s">
        <v>42</v>
      </c>
      <c r="G110" s="62" t="s">
        <v>4</v>
      </c>
      <c r="I110" s="58">
        <f>G116</f>
        <v>0</v>
      </c>
    </row>
    <row r="111" spans="3:9">
      <c r="C111" s="67">
        <v>3178</v>
      </c>
      <c r="D111" s="25" t="s">
        <v>104</v>
      </c>
      <c r="E111" s="90">
        <v>72000</v>
      </c>
      <c r="F111" s="90"/>
      <c r="G111" s="87">
        <f>SUM(E111:F111)</f>
        <v>72000</v>
      </c>
      <c r="I111" s="58"/>
    </row>
    <row r="112" spans="3:9">
      <c r="C112" s="74">
        <v>4178</v>
      </c>
      <c r="D112" s="19" t="s">
        <v>19</v>
      </c>
      <c r="E112" s="93"/>
      <c r="F112" s="93">
        <v>-60000</v>
      </c>
      <c r="G112" s="87">
        <f>SUM(E112:F112)</f>
        <v>-60000</v>
      </c>
      <c r="I112" s="58"/>
    </row>
    <row r="113" spans="3:9">
      <c r="C113" s="74">
        <v>4178</v>
      </c>
      <c r="D113" s="19" t="s">
        <v>105</v>
      </c>
      <c r="E113" s="93"/>
      <c r="F113" s="93">
        <v>-12000</v>
      </c>
      <c r="G113" s="87">
        <f>SUM(E113:F113)</f>
        <v>-12000</v>
      </c>
      <c r="I113" s="58"/>
    </row>
    <row r="114" spans="3:9">
      <c r="C114" s="74"/>
      <c r="D114" s="19"/>
      <c r="E114" s="93"/>
      <c r="F114" s="93"/>
      <c r="G114" s="87">
        <f>SUM(E114:F114)</f>
        <v>0</v>
      </c>
      <c r="I114" s="58"/>
    </row>
    <row r="115" spans="3:9">
      <c r="C115" s="74"/>
      <c r="D115" s="19"/>
      <c r="E115" s="93"/>
      <c r="F115" s="93"/>
      <c r="G115" s="87"/>
      <c r="I115" s="58"/>
    </row>
    <row r="116" spans="3:9">
      <c r="E116" s="56"/>
      <c r="F116" s="56"/>
      <c r="G116" s="106">
        <f>SUM(G111:G115)</f>
        <v>0</v>
      </c>
      <c r="I116" s="58"/>
    </row>
    <row r="117" spans="3:9">
      <c r="I117" s="58"/>
    </row>
    <row r="118" spans="3:9">
      <c r="I118" s="58"/>
    </row>
    <row r="119" spans="3:9" ht="20.25">
      <c r="D119" s="61" t="s">
        <v>106</v>
      </c>
      <c r="E119" s="56"/>
      <c r="F119" s="56"/>
      <c r="I119" s="58"/>
    </row>
    <row r="120" spans="3:9">
      <c r="E120" s="56"/>
      <c r="F120" s="56"/>
      <c r="I120" s="58"/>
    </row>
    <row r="121" spans="3:9" ht="18">
      <c r="C121" s="62" t="s">
        <v>39</v>
      </c>
      <c r="D121" s="63" t="s">
        <v>40</v>
      </c>
      <c r="E121" s="64" t="s">
        <v>41</v>
      </c>
      <c r="F121" s="64" t="s">
        <v>42</v>
      </c>
      <c r="G121" s="62" t="s">
        <v>4</v>
      </c>
      <c r="I121" s="58">
        <f>G125</f>
        <v>-30000</v>
      </c>
    </row>
    <row r="122" spans="3:9">
      <c r="C122" s="67">
        <v>7610</v>
      </c>
      <c r="D122" s="25" t="s">
        <v>107</v>
      </c>
      <c r="E122" s="90"/>
      <c r="F122" s="90">
        <v>-10000</v>
      </c>
      <c r="G122" s="87">
        <f>SUM(E122:F122)</f>
        <v>-10000</v>
      </c>
      <c r="I122" s="58"/>
    </row>
    <row r="123" spans="3:9">
      <c r="C123" s="74">
        <v>7610</v>
      </c>
      <c r="D123" s="19" t="s">
        <v>108</v>
      </c>
      <c r="E123" s="93"/>
      <c r="F123" s="93">
        <v>-20000</v>
      </c>
      <c r="G123" s="87">
        <f>SUM(E123:F123)</f>
        <v>-20000</v>
      </c>
      <c r="I123" s="58"/>
    </row>
    <row r="124" spans="3:9">
      <c r="C124" s="74"/>
      <c r="D124" s="19"/>
      <c r="E124" s="93"/>
      <c r="F124" s="93"/>
      <c r="G124" s="87"/>
      <c r="I124" s="58"/>
    </row>
    <row r="125" spans="3:9">
      <c r="E125" s="56"/>
      <c r="F125" s="56"/>
      <c r="G125" s="106">
        <f>SUM(G122:G124)</f>
        <v>-30000</v>
      </c>
      <c r="I125" s="58"/>
    </row>
    <row r="126" spans="3:9">
      <c r="I126" s="58"/>
    </row>
    <row r="127" spans="3:9">
      <c r="I127" s="58"/>
    </row>
    <row r="128" spans="3:9">
      <c r="I128" s="58"/>
    </row>
    <row r="129" spans="9:9">
      <c r="I129" s="65">
        <f>SUM(I9:I128)</f>
        <v>-104732.6</v>
      </c>
    </row>
  </sheetData>
  <pageMargins left="0.70000000000000007" right="0.70000000000000007" top="1.1437007874015745" bottom="1.1437007874015745" header="0.74999999999999989" footer="0.74999999999999989"/>
  <pageSetup paperSize="9" fitToWidth="0" fitToHeight="0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J128"/>
  <sheetViews>
    <sheetView topLeftCell="A6" workbookViewId="0"/>
  </sheetViews>
  <sheetFormatPr defaultRowHeight="15.75"/>
  <cols>
    <col min="1" max="1" width="10.875" style="8" customWidth="1"/>
    <col min="2" max="2" width="37" style="4" customWidth="1"/>
    <col min="3" max="3" width="11.875" style="3" customWidth="1"/>
    <col min="4" max="4" width="10.125" style="107" customWidth="1"/>
    <col min="5" max="5" width="9.875" style="107" customWidth="1"/>
    <col min="6" max="7" width="6.375" style="4" customWidth="1"/>
    <col min="8" max="8" width="9.75" style="4" customWidth="1"/>
    <col min="9" max="9" width="16" style="4" customWidth="1"/>
    <col min="10" max="256" width="9.25" style="4" customWidth="1"/>
    <col min="257" max="257" width="11.75" style="4" customWidth="1"/>
    <col min="258" max="258" width="35.875" style="4" customWidth="1"/>
    <col min="259" max="259" width="11.875" style="4" customWidth="1"/>
    <col min="260" max="260" width="10.125" style="4" customWidth="1"/>
    <col min="261" max="261" width="9.875" style="4" customWidth="1"/>
    <col min="262" max="263" width="6.375" style="4" customWidth="1"/>
    <col min="264" max="264" width="5.875" style="4" customWidth="1"/>
    <col min="265" max="265" width="16" style="4" customWidth="1"/>
    <col min="266" max="512" width="9.25" style="4" customWidth="1"/>
    <col min="513" max="513" width="11.75" style="4" customWidth="1"/>
    <col min="514" max="514" width="35.875" style="4" customWidth="1"/>
    <col min="515" max="515" width="11.875" style="4" customWidth="1"/>
    <col min="516" max="516" width="10.125" style="4" customWidth="1"/>
    <col min="517" max="517" width="9.875" style="4" customWidth="1"/>
    <col min="518" max="519" width="6.375" style="4" customWidth="1"/>
    <col min="520" max="520" width="5.875" style="4" customWidth="1"/>
    <col min="521" max="521" width="16" style="4" customWidth="1"/>
    <col min="522" max="768" width="9.25" style="4" customWidth="1"/>
    <col min="769" max="769" width="11.75" style="4" customWidth="1"/>
    <col min="770" max="770" width="35.875" style="4" customWidth="1"/>
    <col min="771" max="771" width="11.875" style="4" customWidth="1"/>
    <col min="772" max="772" width="10.125" style="4" customWidth="1"/>
    <col min="773" max="773" width="9.875" style="4" customWidth="1"/>
    <col min="774" max="775" width="6.375" style="4" customWidth="1"/>
    <col min="776" max="776" width="5.875" style="4" customWidth="1"/>
    <col min="777" max="777" width="16" style="4" customWidth="1"/>
    <col min="778" max="1024" width="9.25" style="4" customWidth="1"/>
  </cols>
  <sheetData>
    <row r="1" spans="1:15" ht="20.25">
      <c r="A1" s="1" t="s">
        <v>0</v>
      </c>
      <c r="B1" s="2"/>
      <c r="G1" s="2"/>
      <c r="H1" s="2"/>
      <c r="I1" s="2"/>
      <c r="J1" s="2"/>
      <c r="K1" s="2"/>
      <c r="L1" s="2"/>
      <c r="M1" s="2"/>
      <c r="N1" s="2"/>
      <c r="O1" s="2"/>
    </row>
    <row r="2" spans="1:15" ht="27" customHeight="1">
      <c r="A2" s="5" t="s">
        <v>1</v>
      </c>
      <c r="B2" s="6" t="s">
        <v>2</v>
      </c>
      <c r="F2" s="2"/>
      <c r="G2" s="2"/>
      <c r="H2" s="2" t="s">
        <v>4</v>
      </c>
      <c r="I2" s="2"/>
      <c r="J2" s="2"/>
      <c r="K2" s="2"/>
      <c r="L2" s="2"/>
      <c r="M2" s="2"/>
      <c r="N2" s="2"/>
      <c r="O2" s="2"/>
    </row>
    <row r="3" spans="1:15" ht="18.95" customHeight="1">
      <c r="B3" s="9"/>
      <c r="C3" s="3" t="s">
        <v>5</v>
      </c>
      <c r="D3" s="10" t="s">
        <v>6</v>
      </c>
      <c r="E3" s="15" t="s">
        <v>5</v>
      </c>
      <c r="F3" s="12"/>
      <c r="G3" s="12"/>
      <c r="H3" s="3" t="s">
        <v>5</v>
      </c>
      <c r="I3" s="10" t="s">
        <v>6</v>
      </c>
      <c r="J3" s="15" t="s">
        <v>5</v>
      </c>
      <c r="K3" s="13"/>
      <c r="L3" s="13"/>
      <c r="M3" s="2"/>
      <c r="N3" s="2"/>
      <c r="O3" s="2"/>
    </row>
    <row r="4" spans="1:15" ht="15" customHeight="1">
      <c r="A4" s="14" t="s">
        <v>7</v>
      </c>
      <c r="B4" s="2"/>
      <c r="C4" s="3">
        <v>2016</v>
      </c>
      <c r="D4" s="15">
        <v>2015</v>
      </c>
      <c r="E4" s="15">
        <v>2015</v>
      </c>
      <c r="F4" s="17"/>
      <c r="G4" s="31"/>
      <c r="H4" s="3">
        <v>2016</v>
      </c>
      <c r="I4" s="15">
        <v>2015</v>
      </c>
      <c r="J4" s="15">
        <v>2015</v>
      </c>
      <c r="K4" s="13"/>
      <c r="L4" s="13"/>
      <c r="M4" s="2"/>
      <c r="N4" s="2"/>
      <c r="O4" s="2"/>
    </row>
    <row r="5" spans="1:15">
      <c r="A5" s="18">
        <v>3171</v>
      </c>
      <c r="B5" s="19" t="s">
        <v>8</v>
      </c>
      <c r="C5" s="26">
        <v>31.9</v>
      </c>
      <c r="D5" s="108">
        <v>22.04</v>
      </c>
      <c r="E5" s="109">
        <v>21.96</v>
      </c>
      <c r="F5" s="17"/>
      <c r="G5" s="31"/>
      <c r="H5" s="23">
        <f t="shared" ref="H5:J11" si="0">C5-C27</f>
        <v>-3.8999999999999986</v>
      </c>
      <c r="I5" s="23">
        <f t="shared" si="0"/>
        <v>-4</v>
      </c>
      <c r="J5" s="23">
        <f t="shared" si="0"/>
        <v>-3.9199999999999982</v>
      </c>
      <c r="K5" s="15"/>
      <c r="L5" s="15"/>
      <c r="M5" s="2"/>
      <c r="N5" s="2"/>
      <c r="O5" s="2"/>
    </row>
    <row r="6" spans="1:15" s="28" customFormat="1">
      <c r="A6" s="24">
        <v>3172</v>
      </c>
      <c r="B6" s="25" t="s">
        <v>9</v>
      </c>
      <c r="C6" s="26">
        <v>66</v>
      </c>
      <c r="D6" s="110">
        <v>60.713999999999999</v>
      </c>
      <c r="E6" s="109">
        <v>69</v>
      </c>
      <c r="F6" s="17"/>
      <c r="G6" s="111"/>
      <c r="H6" s="23">
        <f t="shared" si="0"/>
        <v>-8.4000000000000057</v>
      </c>
      <c r="I6" s="23">
        <f t="shared" si="0"/>
        <v>-7</v>
      </c>
      <c r="J6" s="23">
        <f t="shared" si="0"/>
        <v>-6.9000000000000057</v>
      </c>
      <c r="K6" s="15"/>
      <c r="L6" s="15"/>
      <c r="M6" s="27"/>
      <c r="N6" s="27"/>
      <c r="O6" s="27"/>
    </row>
    <row r="7" spans="1:15" s="28" customFormat="1">
      <c r="A7" s="29">
        <v>3173</v>
      </c>
      <c r="B7" s="19" t="s">
        <v>10</v>
      </c>
      <c r="C7" s="26">
        <v>36.799999999999997</v>
      </c>
      <c r="D7" s="108">
        <v>22.04</v>
      </c>
      <c r="E7" s="109">
        <v>35.200000000000003</v>
      </c>
      <c r="F7" s="17"/>
      <c r="G7" s="111"/>
      <c r="H7" s="23">
        <f t="shared" si="0"/>
        <v>-6</v>
      </c>
      <c r="I7" s="23">
        <f t="shared" si="0"/>
        <v>2.7489999999999988</v>
      </c>
      <c r="J7" s="23">
        <f t="shared" si="0"/>
        <v>-5.0849999999999937</v>
      </c>
      <c r="K7" s="30"/>
      <c r="L7" s="30"/>
      <c r="M7" s="27"/>
      <c r="N7" s="27"/>
      <c r="O7" s="27"/>
    </row>
    <row r="8" spans="1:15">
      <c r="A8" s="29">
        <v>3174</v>
      </c>
      <c r="B8" s="19" t="s">
        <v>11</v>
      </c>
      <c r="C8" s="26">
        <v>48</v>
      </c>
      <c r="D8" s="108">
        <v>35.1</v>
      </c>
      <c r="E8" s="109">
        <v>67.2</v>
      </c>
      <c r="F8" s="17"/>
      <c r="G8" s="31"/>
      <c r="H8" s="23">
        <f t="shared" si="0"/>
        <v>-29.400000000000006</v>
      </c>
      <c r="I8" s="23">
        <f t="shared" si="0"/>
        <v>-49.439</v>
      </c>
      <c r="J8" s="23">
        <f t="shared" si="0"/>
        <v>-40.08</v>
      </c>
      <c r="K8" s="30"/>
      <c r="L8" s="30"/>
      <c r="M8" s="2"/>
      <c r="N8" s="2"/>
      <c r="O8" s="2"/>
    </row>
    <row r="9" spans="1:15">
      <c r="A9" s="18" t="s">
        <v>109</v>
      </c>
      <c r="B9" s="19" t="s">
        <v>12</v>
      </c>
      <c r="C9" s="26">
        <v>79.8</v>
      </c>
      <c r="D9" s="108">
        <v>110.27500000000001</v>
      </c>
      <c r="E9" s="109">
        <v>79.8</v>
      </c>
      <c r="F9" s="17"/>
      <c r="G9" s="31"/>
      <c r="H9" s="23">
        <f t="shared" si="0"/>
        <v>0</v>
      </c>
      <c r="I9" s="23">
        <f t="shared" si="0"/>
        <v>6.0000000000002274E-3</v>
      </c>
      <c r="J9" s="23">
        <f t="shared" si="0"/>
        <v>0</v>
      </c>
      <c r="K9" s="30"/>
      <c r="L9" s="30"/>
      <c r="M9" s="2"/>
      <c r="N9" s="2"/>
      <c r="O9" s="2"/>
    </row>
    <row r="10" spans="1:15" s="28" customFormat="1">
      <c r="A10" s="29">
        <v>3177</v>
      </c>
      <c r="B10" s="19" t="s">
        <v>13</v>
      </c>
      <c r="C10" s="26">
        <v>23.5</v>
      </c>
      <c r="D10" s="108">
        <v>26.87</v>
      </c>
      <c r="E10" s="109">
        <v>31</v>
      </c>
      <c r="F10" s="17"/>
      <c r="G10" s="111"/>
      <c r="H10" s="23">
        <f t="shared" si="0"/>
        <v>7</v>
      </c>
      <c r="I10" s="23">
        <f t="shared" si="0"/>
        <v>12.601000000000001</v>
      </c>
      <c r="J10" s="23">
        <f t="shared" si="0"/>
        <v>6</v>
      </c>
      <c r="K10" s="30"/>
      <c r="L10" s="30"/>
      <c r="M10" s="27"/>
      <c r="N10" s="27"/>
      <c r="O10" s="27"/>
    </row>
    <row r="11" spans="1:15">
      <c r="A11" s="29">
        <v>3178</v>
      </c>
      <c r="B11" s="19" t="s">
        <v>14</v>
      </c>
      <c r="C11" s="26">
        <v>81</v>
      </c>
      <c r="D11" s="108">
        <v>73.8</v>
      </c>
      <c r="E11" s="109">
        <v>50</v>
      </c>
      <c r="F11" s="17"/>
      <c r="G11" s="31"/>
      <c r="H11" s="23">
        <f t="shared" si="0"/>
        <v>5</v>
      </c>
      <c r="I11" s="23">
        <f t="shared" si="0"/>
        <v>22.003</v>
      </c>
      <c r="J11" s="23">
        <f t="shared" si="0"/>
        <v>0</v>
      </c>
      <c r="K11" s="31" t="s">
        <v>110</v>
      </c>
      <c r="L11" s="30"/>
      <c r="M11" s="2"/>
      <c r="N11" s="2"/>
      <c r="O11" s="2"/>
    </row>
    <row r="12" spans="1:15">
      <c r="A12" s="18">
        <v>3540</v>
      </c>
      <c r="B12" s="19" t="s">
        <v>15</v>
      </c>
      <c r="C12" s="26"/>
      <c r="D12" s="108">
        <v>14.87</v>
      </c>
      <c r="E12" s="109">
        <v>16</v>
      </c>
      <c r="F12" s="17"/>
      <c r="G12" s="31"/>
      <c r="H12" s="23">
        <f>C12-C23</f>
        <v>-2</v>
      </c>
      <c r="I12" s="23">
        <f>D12-D23</f>
        <v>-24.82</v>
      </c>
      <c r="J12" s="23">
        <f>E12-E23</f>
        <v>-2</v>
      </c>
      <c r="K12" s="30"/>
      <c r="L12" s="30"/>
      <c r="M12" s="2"/>
      <c r="N12" s="2"/>
      <c r="O12" s="2"/>
    </row>
    <row r="13" spans="1:15">
      <c r="A13" s="18"/>
      <c r="B13" s="19"/>
      <c r="C13" s="26"/>
      <c r="D13" s="112"/>
      <c r="E13" s="109"/>
      <c r="F13" s="17"/>
      <c r="G13" s="31"/>
      <c r="H13" s="23"/>
      <c r="I13" s="23"/>
      <c r="J13" s="23"/>
      <c r="K13" s="32"/>
      <c r="L13" s="30"/>
      <c r="M13" s="2"/>
      <c r="N13" s="2"/>
      <c r="O13" s="2"/>
    </row>
    <row r="14" spans="1:15" s="28" customFormat="1">
      <c r="A14" s="18"/>
      <c r="B14" s="19" t="s">
        <v>16</v>
      </c>
      <c r="C14" s="26">
        <v>5</v>
      </c>
      <c r="D14" s="112"/>
      <c r="E14" s="109">
        <v>5</v>
      </c>
      <c r="F14" s="17"/>
      <c r="G14" s="111"/>
      <c r="H14" s="23"/>
      <c r="I14" s="23"/>
      <c r="J14" s="23"/>
      <c r="K14" s="31" t="s">
        <v>111</v>
      </c>
      <c r="L14" s="30"/>
      <c r="M14" s="27"/>
      <c r="N14" s="27"/>
      <c r="O14" s="27"/>
    </row>
    <row r="15" spans="1:15" s="28" customFormat="1">
      <c r="A15" s="18"/>
      <c r="B15" s="33"/>
      <c r="C15" s="26"/>
      <c r="D15" s="112"/>
      <c r="E15" s="109"/>
      <c r="F15" s="17"/>
      <c r="G15" s="111"/>
      <c r="H15" s="23"/>
      <c r="I15" s="23"/>
      <c r="J15" s="23"/>
      <c r="K15" s="32"/>
      <c r="L15" s="30"/>
      <c r="M15" s="27"/>
      <c r="N15" s="27"/>
      <c r="O15" s="27"/>
    </row>
    <row r="16" spans="1:15" s="28" customFormat="1">
      <c r="A16" s="18"/>
      <c r="B16" s="19" t="s">
        <v>17</v>
      </c>
      <c r="C16" s="26"/>
      <c r="D16" s="112"/>
      <c r="E16" s="109"/>
      <c r="F16" s="17"/>
      <c r="G16" s="111"/>
      <c r="H16" s="23">
        <f>C16-C34</f>
        <v>-1</v>
      </c>
      <c r="I16" s="23">
        <f>D16-D34</f>
        <v>-4.3129999999999997</v>
      </c>
      <c r="J16" s="23">
        <f>E16-E34</f>
        <v>-1</v>
      </c>
      <c r="K16" s="30"/>
      <c r="L16" s="30"/>
      <c r="M16" s="27"/>
      <c r="N16" s="27"/>
      <c r="O16" s="27"/>
    </row>
    <row r="17" spans="1:15" s="28" customFormat="1">
      <c r="A17" s="29"/>
      <c r="B17" s="33"/>
      <c r="C17" s="26"/>
      <c r="D17" s="113"/>
      <c r="E17" s="114"/>
      <c r="F17" s="17"/>
      <c r="G17" s="111"/>
      <c r="H17" s="23"/>
      <c r="I17" s="23"/>
      <c r="J17" s="23"/>
      <c r="K17" s="30"/>
      <c r="L17" s="30"/>
      <c r="M17" s="27"/>
      <c r="N17" s="27"/>
      <c r="O17" s="27"/>
    </row>
    <row r="18" spans="1:15">
      <c r="A18" s="18"/>
      <c r="B18" s="33"/>
      <c r="C18" s="26"/>
      <c r="D18" s="113"/>
      <c r="E18" s="114"/>
      <c r="F18" s="17"/>
      <c r="G18" s="31"/>
      <c r="H18" s="23"/>
      <c r="I18" s="23"/>
      <c r="J18" s="23"/>
      <c r="K18" s="30"/>
      <c r="L18" s="30"/>
      <c r="M18" s="2"/>
      <c r="N18" s="2"/>
      <c r="O18" s="2"/>
    </row>
    <row r="19" spans="1:15">
      <c r="A19" s="8" t="s">
        <v>18</v>
      </c>
      <c r="C19" s="34">
        <f>SUM(C5:C18)</f>
        <v>372</v>
      </c>
      <c r="D19" s="53">
        <f>SUM(D5:D18)</f>
        <v>365.709</v>
      </c>
      <c r="E19" s="53">
        <f>SUM(E5:E18)</f>
        <v>375.16</v>
      </c>
      <c r="F19" s="17"/>
      <c r="G19" s="31"/>
      <c r="H19" s="23">
        <f>C19-C39</f>
        <v>-51.699999999999989</v>
      </c>
      <c r="I19" s="23">
        <f>D19-D39</f>
        <v>-54.368999999999971</v>
      </c>
      <c r="J19" s="23">
        <f>E19-E39</f>
        <v>-64.985000000000014</v>
      </c>
      <c r="K19" s="30"/>
      <c r="L19" s="30"/>
      <c r="M19" s="2"/>
      <c r="N19" s="2"/>
      <c r="O19" s="2"/>
    </row>
    <row r="20" spans="1:15">
      <c r="C20" s="36"/>
      <c r="D20" s="115"/>
      <c r="E20" s="116"/>
      <c r="F20" s="37"/>
      <c r="G20" s="37"/>
      <c r="H20" s="38"/>
      <c r="I20" s="27"/>
      <c r="J20" s="30"/>
      <c r="K20" s="30"/>
      <c r="L20" s="30"/>
      <c r="M20" s="2"/>
      <c r="N20" s="2"/>
      <c r="O20" s="2"/>
    </row>
    <row r="21" spans="1:15">
      <c r="C21" s="36"/>
      <c r="D21" s="115"/>
      <c r="E21" s="116"/>
      <c r="F21" s="37"/>
      <c r="G21" s="37"/>
      <c r="H21" s="38"/>
      <c r="I21" s="27"/>
      <c r="J21" s="30"/>
      <c r="K21" s="30"/>
      <c r="L21" s="30"/>
      <c r="M21" s="2"/>
      <c r="N21" s="2"/>
      <c r="O21" s="2"/>
    </row>
    <row r="22" spans="1:15">
      <c r="A22" s="14" t="s">
        <v>19</v>
      </c>
      <c r="B22" s="39"/>
      <c r="C22" s="36"/>
      <c r="D22" s="115"/>
      <c r="E22" s="116"/>
      <c r="F22" s="40"/>
      <c r="G22" s="2"/>
      <c r="H22" s="38"/>
      <c r="I22" s="27"/>
      <c r="J22" s="30"/>
      <c r="K22" s="30"/>
      <c r="L22" s="30"/>
      <c r="M22" s="2"/>
      <c r="N22" s="2"/>
      <c r="O22" s="2"/>
    </row>
    <row r="23" spans="1:15">
      <c r="A23" s="18">
        <v>4015</v>
      </c>
      <c r="B23" s="19" t="s">
        <v>20</v>
      </c>
      <c r="C23" s="26">
        <v>2</v>
      </c>
      <c r="D23" s="117">
        <f>16.59+23.1</f>
        <v>39.69</v>
      </c>
      <c r="E23" s="109">
        <v>18</v>
      </c>
      <c r="F23" s="17"/>
      <c r="G23" s="31"/>
      <c r="H23" s="38"/>
      <c r="I23" s="2"/>
      <c r="J23" s="53"/>
      <c r="K23" s="30"/>
      <c r="L23" s="30"/>
      <c r="M23" s="2"/>
      <c r="N23" s="2"/>
      <c r="O23" s="2"/>
    </row>
    <row r="24" spans="1:15">
      <c r="A24" s="29">
        <v>4020</v>
      </c>
      <c r="B24" s="19" t="s">
        <v>21</v>
      </c>
      <c r="C24" s="26">
        <v>3</v>
      </c>
      <c r="D24" s="118">
        <v>2.1560000000000001</v>
      </c>
      <c r="E24" s="109">
        <v>2</v>
      </c>
      <c r="F24" s="17"/>
      <c r="G24" s="31"/>
      <c r="H24" s="38"/>
      <c r="I24" s="2"/>
      <c r="J24" s="30"/>
      <c r="K24" s="30"/>
      <c r="L24" s="30"/>
      <c r="M24" s="2"/>
      <c r="N24" s="2"/>
      <c r="O24" s="2"/>
    </row>
    <row r="25" spans="1:15">
      <c r="A25" s="29">
        <v>4030</v>
      </c>
      <c r="B25" s="19" t="s">
        <v>22</v>
      </c>
      <c r="C25" s="26">
        <v>5</v>
      </c>
      <c r="D25" s="118"/>
      <c r="E25" s="109">
        <v>5</v>
      </c>
      <c r="F25" s="17"/>
      <c r="G25" s="31"/>
      <c r="H25" s="38"/>
      <c r="I25" s="2"/>
      <c r="J25" s="30"/>
      <c r="K25" s="30"/>
      <c r="L25" s="30"/>
      <c r="M25" s="2"/>
      <c r="N25" s="2"/>
      <c r="O25" s="2"/>
    </row>
    <row r="26" spans="1:15">
      <c r="A26" s="29">
        <v>4132</v>
      </c>
      <c r="B26" s="19" t="s">
        <v>23</v>
      </c>
      <c r="C26" s="26"/>
      <c r="D26" s="118"/>
      <c r="E26" s="109"/>
      <c r="F26" s="17"/>
      <c r="G26" s="31"/>
      <c r="H26" s="11"/>
      <c r="I26" s="54"/>
      <c r="J26" s="30"/>
      <c r="K26" s="30"/>
      <c r="L26" s="30"/>
      <c r="M26" s="2"/>
      <c r="N26" s="2"/>
      <c r="O26" s="2"/>
    </row>
    <row r="27" spans="1:15">
      <c r="A27" s="29">
        <v>4171</v>
      </c>
      <c r="B27" s="19" t="s">
        <v>8</v>
      </c>
      <c r="C27" s="26">
        <v>35.799999999999997</v>
      </c>
      <c r="D27" s="118">
        <v>26.04</v>
      </c>
      <c r="E27" s="109">
        <v>25.88</v>
      </c>
      <c r="F27" s="17"/>
      <c r="G27" s="31"/>
      <c r="H27" s="38"/>
      <c r="I27" s="2"/>
      <c r="J27" s="30"/>
      <c r="K27" s="30"/>
      <c r="L27" s="30"/>
      <c r="M27" s="2"/>
      <c r="N27" s="2"/>
      <c r="O27" s="2"/>
    </row>
    <row r="28" spans="1:15">
      <c r="A28" s="29">
        <v>4172</v>
      </c>
      <c r="B28" s="19" t="s">
        <v>9</v>
      </c>
      <c r="C28" s="26">
        <v>74.400000000000006</v>
      </c>
      <c r="D28" s="118">
        <v>67.713999999999999</v>
      </c>
      <c r="E28" s="109">
        <v>75.900000000000006</v>
      </c>
      <c r="F28" s="17"/>
      <c r="G28" s="31"/>
      <c r="H28" s="41"/>
      <c r="I28" s="2"/>
      <c r="J28" s="30"/>
      <c r="K28" s="30"/>
      <c r="L28" s="30"/>
      <c r="M28" s="2"/>
      <c r="N28" s="2"/>
      <c r="O28" s="2"/>
    </row>
    <row r="29" spans="1:15">
      <c r="A29" s="29">
        <v>4173</v>
      </c>
      <c r="B29" s="19" t="s">
        <v>10</v>
      </c>
      <c r="C29" s="26">
        <v>42.8</v>
      </c>
      <c r="D29" s="118">
        <v>19.291</v>
      </c>
      <c r="E29" s="109">
        <v>40.284999999999997</v>
      </c>
      <c r="F29" s="17"/>
      <c r="G29" s="31"/>
      <c r="H29" s="41"/>
      <c r="I29" s="2"/>
      <c r="J29" s="30"/>
      <c r="K29" s="30"/>
      <c r="L29" s="30"/>
      <c r="M29" s="2"/>
      <c r="N29" s="2"/>
      <c r="O29" s="2"/>
    </row>
    <row r="30" spans="1:15">
      <c r="A30" s="29">
        <v>4174</v>
      </c>
      <c r="B30" s="19" t="s">
        <v>11</v>
      </c>
      <c r="C30" s="26">
        <v>77.400000000000006</v>
      </c>
      <c r="D30" s="118">
        <v>84.539000000000001</v>
      </c>
      <c r="E30" s="109">
        <v>107.28</v>
      </c>
      <c r="F30" s="17"/>
      <c r="G30" s="31"/>
      <c r="H30" s="38"/>
      <c r="I30" s="2"/>
      <c r="J30" s="30"/>
      <c r="K30" s="30"/>
      <c r="L30" s="30"/>
      <c r="M30" s="2"/>
      <c r="N30" s="2"/>
      <c r="O30" s="2"/>
    </row>
    <row r="31" spans="1:15">
      <c r="A31" s="18" t="s">
        <v>112</v>
      </c>
      <c r="B31" s="19" t="s">
        <v>12</v>
      </c>
      <c r="C31" s="26">
        <v>79.8</v>
      </c>
      <c r="D31" s="118">
        <v>110.26900000000001</v>
      </c>
      <c r="E31" s="109">
        <v>79.8</v>
      </c>
      <c r="F31" s="17"/>
      <c r="G31" s="31"/>
      <c r="H31" s="38"/>
      <c r="I31" s="2"/>
      <c r="J31" s="30"/>
      <c r="K31" s="30"/>
      <c r="L31" s="30"/>
      <c r="M31" s="2"/>
      <c r="N31" s="2"/>
      <c r="O31" s="2"/>
    </row>
    <row r="32" spans="1:15">
      <c r="A32" s="29">
        <v>4177</v>
      </c>
      <c r="B32" s="19" t="s">
        <v>13</v>
      </c>
      <c r="C32" s="26">
        <v>16.5</v>
      </c>
      <c r="D32" s="118">
        <v>14.269</v>
      </c>
      <c r="E32" s="109">
        <v>25</v>
      </c>
      <c r="F32" s="17"/>
      <c r="G32" s="31"/>
      <c r="H32" s="41"/>
      <c r="I32" s="2"/>
      <c r="J32" s="30"/>
      <c r="K32" s="31" t="s">
        <v>113</v>
      </c>
      <c r="L32" s="30"/>
      <c r="M32" s="2"/>
      <c r="N32" s="2"/>
      <c r="O32" s="2"/>
    </row>
    <row r="33" spans="1:15">
      <c r="A33" s="29">
        <v>4178</v>
      </c>
      <c r="B33" s="19" t="s">
        <v>14</v>
      </c>
      <c r="C33" s="26">
        <v>76</v>
      </c>
      <c r="D33" s="118">
        <v>51.796999999999997</v>
      </c>
      <c r="E33" s="109">
        <v>50</v>
      </c>
      <c r="F33" s="17"/>
      <c r="G33" s="31"/>
      <c r="H33" s="41"/>
      <c r="I33" s="2"/>
      <c r="J33" s="30"/>
      <c r="K33" s="2" t="s">
        <v>114</v>
      </c>
      <c r="L33" s="30"/>
      <c r="M33" s="2"/>
      <c r="N33" s="2"/>
      <c r="O33" s="2"/>
    </row>
    <row r="34" spans="1:15">
      <c r="A34" s="18">
        <v>4180</v>
      </c>
      <c r="B34" s="19" t="s">
        <v>26</v>
      </c>
      <c r="C34" s="26">
        <v>1</v>
      </c>
      <c r="D34" s="118">
        <v>4.3129999999999997</v>
      </c>
      <c r="E34" s="109">
        <v>1</v>
      </c>
      <c r="F34" s="17"/>
      <c r="G34" s="42"/>
      <c r="H34" s="41"/>
      <c r="I34" s="2"/>
      <c r="J34" s="30"/>
      <c r="K34" s="30"/>
      <c r="L34" s="30"/>
      <c r="M34" s="2"/>
      <c r="N34" s="2"/>
      <c r="O34" s="2"/>
    </row>
    <row r="35" spans="1:15">
      <c r="A35" s="18">
        <v>7610</v>
      </c>
      <c r="B35" s="19" t="s">
        <v>115</v>
      </c>
      <c r="C35" s="26">
        <v>10</v>
      </c>
      <c r="D35" s="118"/>
      <c r="E35" s="109">
        <v>10</v>
      </c>
      <c r="F35" s="42"/>
      <c r="G35" s="42"/>
      <c r="H35" s="41"/>
      <c r="I35" s="2"/>
      <c r="J35" s="32"/>
      <c r="K35" s="43" t="s">
        <v>116</v>
      </c>
      <c r="L35" s="30"/>
      <c r="M35" s="2"/>
      <c r="N35" s="2"/>
      <c r="O35" s="2"/>
    </row>
    <row r="36" spans="1:15">
      <c r="A36" s="29"/>
      <c r="B36" s="33"/>
      <c r="C36" s="26"/>
      <c r="D36" s="118"/>
      <c r="E36" s="119"/>
      <c r="F36" s="42"/>
      <c r="G36" s="42"/>
      <c r="H36" s="41"/>
      <c r="I36" s="2"/>
      <c r="J36" s="32"/>
      <c r="K36" s="30"/>
      <c r="L36" s="30"/>
      <c r="M36" s="2"/>
      <c r="N36" s="2"/>
      <c r="O36" s="2"/>
    </row>
    <row r="37" spans="1:15">
      <c r="F37" s="17"/>
      <c r="G37" s="31"/>
      <c r="H37" s="41"/>
      <c r="I37" s="2"/>
      <c r="J37" s="30"/>
      <c r="K37" s="30"/>
      <c r="L37" s="30"/>
      <c r="M37" s="2"/>
      <c r="N37" s="2"/>
      <c r="O37" s="2"/>
    </row>
    <row r="38" spans="1:15">
      <c r="A38" s="18"/>
      <c r="B38" s="33"/>
      <c r="C38" s="26"/>
      <c r="D38" s="113"/>
      <c r="E38" s="114"/>
      <c r="F38" s="17"/>
      <c r="G38" s="31"/>
      <c r="H38" s="41"/>
      <c r="I38" s="27"/>
      <c r="J38" s="30"/>
      <c r="K38" s="30"/>
      <c r="L38" s="30"/>
      <c r="M38" s="2"/>
      <c r="N38" s="2"/>
      <c r="O38" s="2"/>
    </row>
    <row r="39" spans="1:15">
      <c r="A39" s="8" t="s">
        <v>28</v>
      </c>
      <c r="C39" s="44">
        <f>SUM(C23:C38)</f>
        <v>423.7</v>
      </c>
      <c r="D39" s="53">
        <f>SUM(D23:D38)</f>
        <v>420.07799999999997</v>
      </c>
      <c r="E39" s="53">
        <f>SUM(E23:E38)</f>
        <v>440.14500000000004</v>
      </c>
      <c r="F39" s="42"/>
      <c r="G39" s="42"/>
      <c r="H39" s="41"/>
      <c r="I39" s="27"/>
      <c r="J39" s="30"/>
      <c r="K39" s="30"/>
      <c r="L39" s="30"/>
      <c r="M39" s="2"/>
      <c r="N39" s="2"/>
      <c r="O39" s="2"/>
    </row>
    <row r="40" spans="1:15">
      <c r="C40" s="44"/>
      <c r="D40" s="46"/>
      <c r="E40" s="120"/>
      <c r="F40" s="37"/>
      <c r="G40" s="37"/>
      <c r="H40" s="38"/>
      <c r="I40" s="27"/>
      <c r="J40" s="30"/>
      <c r="K40" s="30"/>
      <c r="L40" s="30"/>
      <c r="M40" s="2"/>
      <c r="N40" s="2"/>
      <c r="O40" s="2"/>
    </row>
    <row r="41" spans="1:15">
      <c r="C41" s="44"/>
      <c r="D41" s="46"/>
      <c r="E41" s="120"/>
      <c r="F41" s="37"/>
      <c r="G41" s="37"/>
      <c r="H41" s="38"/>
      <c r="I41" s="27"/>
      <c r="J41" s="30"/>
      <c r="K41" s="30"/>
      <c r="L41" s="30"/>
      <c r="M41" s="2"/>
      <c r="N41" s="2"/>
      <c r="O41" s="2"/>
    </row>
    <row r="42" spans="1:15">
      <c r="C42" s="3" t="s">
        <v>5</v>
      </c>
      <c r="D42" s="10" t="s">
        <v>6</v>
      </c>
      <c r="E42" s="120" t="s">
        <v>5</v>
      </c>
      <c r="F42" s="37"/>
      <c r="G42" s="37"/>
      <c r="H42" s="38"/>
      <c r="I42" s="2"/>
      <c r="J42" s="30"/>
      <c r="K42" s="46"/>
      <c r="L42" s="46"/>
      <c r="M42" s="2"/>
      <c r="N42" s="2"/>
      <c r="O42" s="2"/>
    </row>
    <row r="43" spans="1:15">
      <c r="C43" s="3">
        <v>2016</v>
      </c>
      <c r="D43" s="15">
        <v>2015</v>
      </c>
      <c r="E43" s="15">
        <v>2015</v>
      </c>
      <c r="F43" s="37"/>
      <c r="G43" s="37"/>
      <c r="H43" s="38"/>
      <c r="I43" s="2"/>
      <c r="J43" s="44"/>
      <c r="K43" s="46"/>
      <c r="L43" s="46"/>
      <c r="M43" s="2"/>
      <c r="N43" s="2"/>
      <c r="O43" s="2"/>
    </row>
    <row r="44" spans="1:15">
      <c r="A44" s="47" t="s">
        <v>29</v>
      </c>
      <c r="B44" s="48"/>
      <c r="C44" s="49">
        <f>+C19-C39</f>
        <v>-51.699999999999989</v>
      </c>
      <c r="D44" s="121">
        <f>+D19-D39</f>
        <v>-54.368999999999971</v>
      </c>
      <c r="E44" s="122">
        <f>SUM(E19-E39)</f>
        <v>-64.985000000000014</v>
      </c>
      <c r="F44" s="40"/>
      <c r="G44" s="2"/>
      <c r="H44" s="38"/>
      <c r="I44" s="2"/>
      <c r="J44" s="44"/>
      <c r="K44" s="2" t="s">
        <v>117</v>
      </c>
      <c r="L44" s="46"/>
      <c r="M44" s="2"/>
      <c r="N44" s="2"/>
      <c r="O44" s="2"/>
    </row>
    <row r="45" spans="1:15">
      <c r="E45" s="116"/>
      <c r="F45" s="37"/>
      <c r="G45" s="37"/>
      <c r="H45" s="38"/>
      <c r="I45" s="2"/>
      <c r="J45" s="52"/>
      <c r="K45" s="2" t="s">
        <v>118</v>
      </c>
      <c r="L45" s="15"/>
      <c r="M45" s="2"/>
      <c r="N45" s="2"/>
      <c r="O45" s="2"/>
    </row>
    <row r="46" spans="1:15">
      <c r="A46" s="51" t="s">
        <v>30</v>
      </c>
      <c r="B46" s="2"/>
      <c r="C46" s="52"/>
      <c r="D46" s="13"/>
      <c r="E46" s="116"/>
      <c r="F46" s="37"/>
      <c r="G46" s="37"/>
      <c r="H46" s="38"/>
      <c r="I46" s="2"/>
      <c r="J46" s="52"/>
      <c r="L46" s="15"/>
      <c r="M46" s="2"/>
      <c r="N46" s="2"/>
      <c r="O46" s="2"/>
    </row>
    <row r="47" spans="1:15">
      <c r="A47" s="38"/>
      <c r="B47" s="2"/>
      <c r="C47" s="52"/>
      <c r="D47" s="13"/>
      <c r="E47" s="116"/>
      <c r="F47" s="37"/>
      <c r="G47" s="37"/>
      <c r="H47" s="11"/>
      <c r="I47" s="2"/>
      <c r="J47" s="34"/>
      <c r="K47" s="53"/>
      <c r="L47" s="53"/>
      <c r="M47" s="2"/>
      <c r="N47" s="2"/>
      <c r="O47" s="2"/>
    </row>
    <row r="48" spans="1:15">
      <c r="A48" s="38"/>
      <c r="B48" s="2"/>
      <c r="C48" s="52"/>
      <c r="D48" s="13"/>
      <c r="E48" s="116"/>
      <c r="F48" s="37"/>
      <c r="G48" s="37"/>
      <c r="H48" s="38"/>
      <c r="I48" s="2"/>
      <c r="J48" s="52"/>
      <c r="K48" s="13"/>
      <c r="L48" s="13"/>
      <c r="M48" s="2"/>
      <c r="N48" s="2"/>
      <c r="O48" s="2"/>
    </row>
    <row r="49" spans="1:15">
      <c r="A49" s="38"/>
      <c r="B49" s="2"/>
      <c r="C49" s="52"/>
      <c r="D49" s="13"/>
      <c r="E49" s="116"/>
      <c r="F49" s="37"/>
      <c r="G49" s="37"/>
      <c r="H49" s="51"/>
      <c r="I49" s="2"/>
      <c r="J49" s="52"/>
      <c r="K49" s="13"/>
      <c r="L49" s="13"/>
      <c r="M49" s="2"/>
      <c r="N49" s="2"/>
      <c r="O49" s="2"/>
    </row>
    <row r="50" spans="1:15">
      <c r="A50" s="38"/>
      <c r="B50" s="2"/>
      <c r="C50" s="52"/>
      <c r="D50" s="15"/>
      <c r="E50" s="120"/>
      <c r="F50" s="40"/>
      <c r="G50" s="2"/>
      <c r="H50" s="2"/>
      <c r="I50" s="2"/>
      <c r="J50" s="2"/>
      <c r="K50" s="2"/>
      <c r="L50" s="2"/>
      <c r="M50" s="2"/>
      <c r="N50" s="2"/>
      <c r="O50" s="2"/>
    </row>
    <row r="51" spans="1:15">
      <c r="A51" s="38"/>
      <c r="B51" s="2"/>
      <c r="C51" s="52"/>
      <c r="D51" s="15"/>
      <c r="E51" s="120"/>
      <c r="F51" s="12"/>
      <c r="G51" s="12"/>
      <c r="H51" s="12"/>
      <c r="I51" s="2"/>
      <c r="J51" s="2"/>
      <c r="K51" s="2"/>
      <c r="L51" s="2"/>
      <c r="M51" s="2"/>
      <c r="N51" s="2"/>
      <c r="O51" s="2"/>
    </row>
    <row r="52" spans="1:15">
      <c r="A52" s="38"/>
      <c r="B52" s="2"/>
      <c r="C52" s="52"/>
      <c r="D52" s="13"/>
      <c r="E52" s="116"/>
      <c r="F52" s="40"/>
      <c r="G52" s="2"/>
      <c r="H52" s="2"/>
      <c r="I52" s="2"/>
      <c r="J52" s="2"/>
      <c r="K52" s="2"/>
      <c r="L52" s="2"/>
      <c r="M52" s="2"/>
      <c r="N52" s="2"/>
      <c r="O52" s="2"/>
    </row>
    <row r="53" spans="1:15">
      <c r="A53" s="38"/>
      <c r="B53" s="2"/>
      <c r="C53" s="52"/>
      <c r="D53" s="30"/>
      <c r="E53" s="30"/>
      <c r="F53" s="123"/>
      <c r="G53" s="31"/>
      <c r="H53" s="124"/>
    </row>
    <row r="54" spans="1:15">
      <c r="A54" s="38"/>
      <c r="B54" s="2"/>
      <c r="C54" s="52"/>
      <c r="D54" s="30"/>
      <c r="E54" s="30"/>
      <c r="F54" s="123"/>
      <c r="G54" s="31"/>
      <c r="H54" s="124"/>
    </row>
    <row r="55" spans="1:15">
      <c r="A55" s="38"/>
      <c r="B55" s="2"/>
      <c r="C55" s="34"/>
      <c r="D55" s="30"/>
      <c r="E55" s="30"/>
      <c r="F55" s="123"/>
      <c r="G55" s="2"/>
    </row>
    <row r="56" spans="1:15">
      <c r="A56" s="38"/>
      <c r="B56" s="2"/>
      <c r="C56" s="34"/>
      <c r="D56" s="30"/>
      <c r="E56" s="30"/>
      <c r="F56" s="123"/>
      <c r="G56" s="31"/>
      <c r="H56" s="124"/>
    </row>
    <row r="57" spans="1:15">
      <c r="A57" s="38"/>
      <c r="B57" s="2"/>
      <c r="C57" s="34"/>
      <c r="D57" s="30"/>
      <c r="E57" s="30"/>
      <c r="F57" s="123"/>
      <c r="G57" s="31"/>
      <c r="H57" s="124"/>
    </row>
    <row r="58" spans="1:15">
      <c r="A58" s="38"/>
      <c r="B58" s="2"/>
      <c r="C58" s="34"/>
      <c r="D58" s="30"/>
      <c r="E58" s="30"/>
      <c r="F58" s="123"/>
      <c r="G58" s="31"/>
      <c r="H58" s="124"/>
    </row>
    <row r="59" spans="1:15">
      <c r="A59" s="38"/>
      <c r="B59" s="40"/>
      <c r="C59" s="34"/>
      <c r="D59" s="30"/>
      <c r="E59" s="30"/>
      <c r="F59" s="123"/>
      <c r="G59" s="31"/>
      <c r="H59" s="124"/>
    </row>
    <row r="60" spans="1:15">
      <c r="A60" s="38"/>
      <c r="B60" s="40"/>
      <c r="C60" s="34"/>
      <c r="D60" s="30"/>
      <c r="E60" s="30"/>
      <c r="F60" s="123"/>
      <c r="G60" s="31"/>
      <c r="H60" s="124"/>
    </row>
    <row r="61" spans="1:15">
      <c r="A61" s="38"/>
      <c r="B61" s="2"/>
      <c r="C61" s="34"/>
      <c r="D61" s="30"/>
      <c r="E61" s="30"/>
      <c r="F61" s="123"/>
      <c r="G61" s="31"/>
      <c r="H61" s="124"/>
    </row>
    <row r="62" spans="1:15">
      <c r="A62" s="38"/>
      <c r="B62" s="2"/>
      <c r="C62" s="34"/>
      <c r="D62" s="30"/>
      <c r="E62" s="30"/>
      <c r="F62" s="123"/>
      <c r="G62" s="31"/>
      <c r="H62" s="124"/>
    </row>
    <row r="63" spans="1:15">
      <c r="A63" s="38"/>
      <c r="B63" s="2"/>
      <c r="C63" s="34"/>
      <c r="D63" s="30"/>
      <c r="E63" s="30"/>
      <c r="F63" s="123"/>
      <c r="G63" s="31"/>
      <c r="H63" s="124"/>
    </row>
    <row r="64" spans="1:15">
      <c r="A64" s="38"/>
      <c r="B64" s="2"/>
      <c r="C64" s="34"/>
      <c r="D64" s="30"/>
      <c r="E64" s="30"/>
      <c r="F64" s="123"/>
      <c r="G64" s="31"/>
      <c r="H64" s="31"/>
    </row>
    <row r="65" spans="1:8">
      <c r="A65" s="38"/>
      <c r="B65" s="2"/>
      <c r="C65" s="34"/>
      <c r="D65" s="30"/>
      <c r="E65" s="30"/>
      <c r="F65" s="37"/>
      <c r="G65" s="37"/>
      <c r="H65" s="37"/>
    </row>
    <row r="66" spans="1:8">
      <c r="A66" s="38"/>
      <c r="B66" s="2"/>
      <c r="C66" s="52"/>
      <c r="D66" s="13"/>
      <c r="E66" s="46"/>
      <c r="F66" s="37"/>
      <c r="G66" s="37"/>
      <c r="H66" s="37"/>
    </row>
    <row r="67" spans="1:8">
      <c r="A67" s="38"/>
      <c r="B67" s="2"/>
      <c r="C67" s="52"/>
      <c r="D67" s="125"/>
      <c r="E67" s="126"/>
      <c r="F67" s="127"/>
      <c r="G67" s="37"/>
      <c r="H67" s="37"/>
    </row>
    <row r="68" spans="1:8">
      <c r="A68" s="38"/>
      <c r="B68" s="2"/>
      <c r="C68" s="52"/>
      <c r="D68" s="125"/>
      <c r="E68" s="126"/>
      <c r="F68" s="127"/>
      <c r="G68" s="37"/>
      <c r="H68" s="37"/>
    </row>
    <row r="69" spans="1:8">
      <c r="A69" s="38"/>
      <c r="B69" s="54"/>
      <c r="C69" s="52"/>
      <c r="D69" s="128"/>
      <c r="E69" s="125"/>
      <c r="F69" s="129"/>
    </row>
    <row r="70" spans="1:8">
      <c r="A70" s="38"/>
      <c r="B70" s="54"/>
      <c r="C70" s="52"/>
      <c r="D70" s="128"/>
      <c r="E70" s="125"/>
      <c r="F70" s="129"/>
      <c r="G70" s="2"/>
    </row>
    <row r="71" spans="1:8">
      <c r="B71" s="54"/>
      <c r="C71" s="52"/>
      <c r="D71" s="128"/>
      <c r="E71" s="125"/>
      <c r="F71" s="129"/>
      <c r="G71" s="2"/>
    </row>
    <row r="72" spans="1:8">
      <c r="A72" s="14"/>
      <c r="B72" s="54"/>
      <c r="C72" s="52"/>
      <c r="D72" s="128"/>
      <c r="E72" s="128"/>
      <c r="F72" s="130"/>
      <c r="G72" s="2"/>
    </row>
    <row r="73" spans="1:8">
      <c r="A73" s="14"/>
      <c r="B73" s="54"/>
      <c r="C73" s="52"/>
      <c r="D73" s="128"/>
      <c r="E73" s="128"/>
      <c r="F73" s="130"/>
      <c r="G73" s="2"/>
    </row>
    <row r="74" spans="1:8">
      <c r="B74" s="54"/>
      <c r="C74" s="52"/>
      <c r="D74" s="128"/>
      <c r="E74" s="128"/>
      <c r="F74" s="129"/>
      <c r="G74" s="2"/>
    </row>
    <row r="75" spans="1:8">
      <c r="B75" s="2"/>
      <c r="C75" s="52"/>
      <c r="D75" s="125"/>
      <c r="E75" s="125"/>
      <c r="F75" s="129"/>
      <c r="G75" s="2"/>
    </row>
    <row r="76" spans="1:8">
      <c r="B76" s="2"/>
      <c r="C76" s="52"/>
      <c r="D76" s="125"/>
      <c r="E76" s="125"/>
      <c r="F76" s="129"/>
      <c r="G76" s="2"/>
    </row>
    <row r="77" spans="1:8">
      <c r="B77" s="2"/>
      <c r="C77" s="52"/>
      <c r="D77" s="125"/>
      <c r="E77" s="125"/>
      <c r="F77" s="129"/>
      <c r="G77" s="2"/>
    </row>
    <row r="78" spans="1:8">
      <c r="B78" s="2"/>
      <c r="C78" s="52"/>
      <c r="D78" s="125"/>
      <c r="E78" s="125"/>
      <c r="F78" s="129"/>
      <c r="G78" s="2"/>
    </row>
    <row r="79" spans="1:8">
      <c r="B79" s="2"/>
      <c r="C79" s="52"/>
      <c r="D79" s="125"/>
      <c r="E79" s="125"/>
      <c r="F79" s="129"/>
      <c r="G79" s="2"/>
    </row>
    <row r="80" spans="1:8">
      <c r="B80" s="2"/>
      <c r="C80" s="52"/>
      <c r="D80" s="125"/>
      <c r="E80" s="125"/>
      <c r="F80" s="129"/>
      <c r="G80" s="2"/>
    </row>
    <row r="81" spans="2:7">
      <c r="B81" s="2"/>
      <c r="C81" s="52"/>
      <c r="D81" s="125"/>
      <c r="E81" s="125"/>
      <c r="F81" s="129"/>
      <c r="G81" s="2"/>
    </row>
    <row r="82" spans="2:7">
      <c r="B82" s="2"/>
      <c r="C82" s="52"/>
      <c r="D82" s="125"/>
      <c r="E82" s="125"/>
      <c r="F82" s="129"/>
      <c r="G82" s="2"/>
    </row>
    <row r="83" spans="2:7">
      <c r="B83" s="39"/>
      <c r="C83" s="52"/>
      <c r="D83" s="128"/>
      <c r="E83" s="128"/>
      <c r="F83" s="129"/>
    </row>
    <row r="84" spans="2:7">
      <c r="B84" s="39"/>
      <c r="D84" s="131"/>
      <c r="E84" s="131"/>
      <c r="F84" s="132"/>
    </row>
    <row r="85" spans="2:7">
      <c r="B85" s="39"/>
      <c r="D85" s="131"/>
      <c r="E85" s="133"/>
      <c r="F85" s="132"/>
    </row>
    <row r="86" spans="2:7">
      <c r="D86" s="133"/>
      <c r="E86" s="133"/>
      <c r="F86" s="132"/>
    </row>
    <row r="87" spans="2:7">
      <c r="D87" s="133"/>
      <c r="E87" s="133"/>
      <c r="F87" s="132"/>
    </row>
    <row r="88" spans="2:7">
      <c r="D88" s="133"/>
      <c r="E88" s="133"/>
      <c r="F88" s="132"/>
    </row>
    <row r="89" spans="2:7">
      <c r="D89" s="133"/>
      <c r="E89" s="133"/>
      <c r="F89" s="132"/>
    </row>
    <row r="90" spans="2:7">
      <c r="D90" s="133"/>
      <c r="E90" s="133"/>
      <c r="F90" s="132"/>
    </row>
    <row r="91" spans="2:7">
      <c r="D91" s="133"/>
      <c r="E91" s="133"/>
      <c r="F91" s="132"/>
    </row>
    <row r="92" spans="2:7">
      <c r="D92" s="133"/>
      <c r="E92" s="133"/>
      <c r="F92" s="132"/>
    </row>
    <row r="93" spans="2:7">
      <c r="B93" s="2"/>
      <c r="C93" s="52"/>
      <c r="D93" s="125"/>
      <c r="E93" s="125"/>
      <c r="F93" s="129"/>
    </row>
    <row r="94" spans="2:7">
      <c r="B94" s="2"/>
      <c r="C94" s="52"/>
      <c r="D94" s="125"/>
      <c r="E94" s="125"/>
      <c r="F94" s="129"/>
    </row>
    <row r="95" spans="2:7">
      <c r="B95" s="54"/>
      <c r="C95" s="52"/>
      <c r="D95" s="128"/>
      <c r="E95" s="125"/>
      <c r="F95" s="129"/>
    </row>
    <row r="96" spans="2:7">
      <c r="B96" s="54"/>
      <c r="C96" s="52"/>
      <c r="D96" s="128"/>
      <c r="E96" s="125"/>
      <c r="F96" s="129"/>
    </row>
    <row r="97" spans="2:6">
      <c r="B97" s="54"/>
      <c r="C97" s="52"/>
      <c r="D97" s="128"/>
      <c r="E97" s="125"/>
      <c r="F97" s="129"/>
    </row>
    <row r="98" spans="2:6">
      <c r="B98" s="2"/>
      <c r="C98" s="52"/>
      <c r="D98" s="125"/>
      <c r="E98" s="125"/>
      <c r="F98" s="129"/>
    </row>
    <row r="99" spans="2:6">
      <c r="B99" s="2"/>
      <c r="C99" s="52"/>
      <c r="D99" s="125"/>
      <c r="E99" s="125"/>
      <c r="F99" s="129"/>
    </row>
    <row r="100" spans="2:6">
      <c r="B100" s="2"/>
      <c r="C100" s="52"/>
      <c r="D100" s="125"/>
      <c r="E100" s="125"/>
      <c r="F100" s="129"/>
    </row>
    <row r="101" spans="2:6">
      <c r="B101" s="2"/>
      <c r="C101" s="52"/>
      <c r="D101" s="125"/>
      <c r="E101" s="125"/>
      <c r="F101" s="129"/>
    </row>
    <row r="102" spans="2:6">
      <c r="B102" s="2"/>
      <c r="C102" s="52"/>
      <c r="D102" s="125"/>
      <c r="E102" s="125"/>
      <c r="F102" s="129"/>
    </row>
    <row r="103" spans="2:6">
      <c r="B103" s="54"/>
      <c r="C103" s="52"/>
      <c r="D103" s="128"/>
      <c r="E103" s="125"/>
      <c r="F103" s="129"/>
    </row>
    <row r="104" spans="2:6">
      <c r="B104" s="2"/>
      <c r="C104" s="52"/>
      <c r="D104" s="125"/>
      <c r="E104" s="125"/>
      <c r="F104" s="129"/>
    </row>
    <row r="105" spans="2:6">
      <c r="B105" s="54"/>
      <c r="C105" s="52"/>
      <c r="D105" s="128"/>
      <c r="E105" s="125"/>
      <c r="F105" s="129"/>
    </row>
    <row r="106" spans="2:6">
      <c r="D106" s="133"/>
      <c r="E106" s="133"/>
      <c r="F106" s="132"/>
    </row>
    <row r="107" spans="2:6">
      <c r="B107" s="28"/>
      <c r="D107" s="133"/>
      <c r="E107" s="133"/>
      <c r="F107" s="132"/>
    </row>
    <row r="108" spans="2:6">
      <c r="D108" s="133"/>
      <c r="E108" s="133"/>
      <c r="F108" s="132"/>
    </row>
    <row r="109" spans="2:6">
      <c r="D109" s="133"/>
      <c r="E109" s="133"/>
      <c r="F109" s="132"/>
    </row>
    <row r="110" spans="2:6">
      <c r="D110" s="133"/>
      <c r="E110" s="133"/>
      <c r="F110" s="132"/>
    </row>
    <row r="111" spans="2:6">
      <c r="D111" s="133"/>
      <c r="E111" s="133"/>
      <c r="F111" s="132"/>
    </row>
    <row r="112" spans="2:6">
      <c r="D112" s="133"/>
      <c r="E112" s="133"/>
      <c r="F112" s="132"/>
    </row>
    <row r="113" spans="1:6">
      <c r="D113" s="133"/>
      <c r="E113" s="133"/>
      <c r="F113" s="132"/>
    </row>
    <row r="114" spans="1:6">
      <c r="D114" s="133"/>
      <c r="E114" s="133"/>
      <c r="F114" s="132"/>
    </row>
    <row r="115" spans="1:6">
      <c r="B115" s="2"/>
      <c r="C115" s="52"/>
      <c r="D115" s="125"/>
      <c r="E115" s="125"/>
      <c r="F115" s="129"/>
    </row>
    <row r="116" spans="1:6">
      <c r="B116" s="54"/>
      <c r="C116" s="52"/>
      <c r="D116" s="128"/>
      <c r="E116" s="125"/>
      <c r="F116" s="129"/>
    </row>
    <row r="117" spans="1:6">
      <c r="D117" s="133"/>
      <c r="E117" s="133"/>
      <c r="F117" s="132"/>
    </row>
    <row r="118" spans="1:6">
      <c r="B118" s="39"/>
      <c r="D118" s="131"/>
      <c r="E118" s="133"/>
      <c r="F118" s="132"/>
    </row>
    <row r="119" spans="1:6">
      <c r="D119" s="133"/>
      <c r="E119" s="133"/>
      <c r="F119" s="132"/>
    </row>
    <row r="120" spans="1:6">
      <c r="A120" s="38"/>
      <c r="B120" s="54"/>
      <c r="C120" s="52"/>
      <c r="D120" s="128"/>
      <c r="E120" s="128"/>
      <c r="F120" s="130"/>
    </row>
    <row r="121" spans="1:6">
      <c r="A121" s="38"/>
      <c r="B121" s="2"/>
      <c r="C121" s="52"/>
      <c r="D121" s="125"/>
      <c r="E121" s="125"/>
      <c r="F121" s="129"/>
    </row>
    <row r="122" spans="1:6">
      <c r="D122" s="133"/>
      <c r="E122" s="133"/>
      <c r="F122" s="132"/>
    </row>
    <row r="123" spans="1:6">
      <c r="D123" s="133"/>
      <c r="E123" s="133"/>
      <c r="F123" s="132"/>
    </row>
    <row r="124" spans="1:6">
      <c r="D124" s="133"/>
      <c r="E124" s="133"/>
      <c r="F124" s="132"/>
    </row>
    <row r="125" spans="1:6">
      <c r="D125" s="133"/>
      <c r="E125" s="133"/>
      <c r="F125" s="132"/>
    </row>
    <row r="126" spans="1:6">
      <c r="D126" s="133"/>
      <c r="E126" s="133"/>
      <c r="F126" s="132"/>
    </row>
    <row r="127" spans="1:6">
      <c r="D127" s="133"/>
      <c r="E127" s="133"/>
      <c r="F127" s="132"/>
    </row>
    <row r="128" spans="1:6">
      <c r="D128" s="133"/>
      <c r="E128" s="133"/>
      <c r="F128" s="132"/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AMJ132"/>
  <sheetViews>
    <sheetView workbookViewId="0"/>
  </sheetViews>
  <sheetFormatPr defaultRowHeight="15"/>
  <cols>
    <col min="1" max="2" width="8.125" style="4" customWidth="1"/>
    <col min="3" max="3" width="9.25" style="4" customWidth="1"/>
    <col min="4" max="4" width="90" style="4" customWidth="1"/>
    <col min="5" max="5" width="13.75" style="4" customWidth="1"/>
    <col min="6" max="6" width="10.125" style="4" customWidth="1"/>
    <col min="7" max="7" width="7.625" style="4" customWidth="1"/>
    <col min="8" max="8" width="8.125" style="4" customWidth="1"/>
    <col min="9" max="9" width="10.875" style="4" customWidth="1"/>
    <col min="10" max="1024" width="8.125" style="4" customWidth="1"/>
  </cols>
  <sheetData>
    <row r="2" spans="3:13" ht="23.25">
      <c r="D2" s="55" t="s">
        <v>119</v>
      </c>
      <c r="E2" s="4" t="s">
        <v>32</v>
      </c>
      <c r="F2" s="56"/>
    </row>
    <row r="3" spans="3:13">
      <c r="D3" s="57" t="s">
        <v>33</v>
      </c>
      <c r="E3" s="56"/>
      <c r="F3" s="56"/>
      <c r="I3" s="58" t="s">
        <v>34</v>
      </c>
      <c r="K3" s="59" t="s">
        <v>35</v>
      </c>
      <c r="L3" s="60"/>
      <c r="M3" s="4" t="s">
        <v>36</v>
      </c>
    </row>
    <row r="4" spans="3:13">
      <c r="D4" s="57" t="s">
        <v>37</v>
      </c>
      <c r="E4" s="56"/>
      <c r="F4" s="56"/>
      <c r="I4" s="58"/>
      <c r="K4" s="60"/>
      <c r="L4" s="60"/>
    </row>
    <row r="5" spans="3:13">
      <c r="E5" s="56"/>
      <c r="F5" s="56"/>
      <c r="I5" s="58"/>
      <c r="K5" s="60"/>
      <c r="L5" s="60"/>
    </row>
    <row r="6" spans="3:13">
      <c r="E6" s="56"/>
      <c r="F6" s="56"/>
      <c r="G6" s="2"/>
      <c r="I6" s="58"/>
      <c r="K6" s="60"/>
      <c r="L6" s="60"/>
    </row>
    <row r="7" spans="3:13" ht="20.25">
      <c r="D7" s="61" t="s">
        <v>120</v>
      </c>
      <c r="E7" s="56"/>
      <c r="F7" s="56"/>
      <c r="I7" s="58"/>
      <c r="K7" s="60"/>
      <c r="L7" s="60"/>
    </row>
    <row r="8" spans="3:13">
      <c r="E8" s="56"/>
      <c r="F8" s="56"/>
      <c r="I8" s="58"/>
      <c r="K8" s="60"/>
      <c r="L8" s="60"/>
    </row>
    <row r="9" spans="3:13" ht="18">
      <c r="C9" s="62" t="s">
        <v>39</v>
      </c>
      <c r="D9" s="63" t="s">
        <v>40</v>
      </c>
      <c r="E9" s="64" t="s">
        <v>41</v>
      </c>
      <c r="F9" s="64" t="s">
        <v>42</v>
      </c>
      <c r="G9" s="62" t="s">
        <v>4</v>
      </c>
      <c r="I9" s="65">
        <f>G18</f>
        <v>-3997.5999999999985</v>
      </c>
      <c r="J9" s="4">
        <v>1500</v>
      </c>
      <c r="K9" s="59" t="s">
        <v>43</v>
      </c>
      <c r="L9" s="66">
        <v>36</v>
      </c>
    </row>
    <row r="10" spans="3:13">
      <c r="C10" s="67">
        <v>301</v>
      </c>
      <c r="D10" s="25" t="s">
        <v>121</v>
      </c>
      <c r="E10" s="68"/>
      <c r="F10" s="69">
        <v>-12000</v>
      </c>
      <c r="G10" s="70">
        <f t="shared" ref="G10:G17" si="0">SUM(E10:F10)</f>
        <v>-12000</v>
      </c>
      <c r="I10" s="58"/>
      <c r="K10" s="60"/>
      <c r="L10" s="60"/>
    </row>
    <row r="11" spans="3:13">
      <c r="C11" s="67">
        <v>302</v>
      </c>
      <c r="D11" s="71" t="s">
        <v>45</v>
      </c>
      <c r="E11" s="72"/>
      <c r="F11" s="73">
        <v>3000</v>
      </c>
      <c r="G11" s="70">
        <f t="shared" si="0"/>
        <v>3000</v>
      </c>
      <c r="H11" s="134" t="s">
        <v>122</v>
      </c>
      <c r="I11" s="58"/>
      <c r="K11" s="60"/>
      <c r="L11" s="60"/>
    </row>
    <row r="12" spans="3:13">
      <c r="C12" s="67">
        <v>303</v>
      </c>
      <c r="D12" s="25" t="s">
        <v>123</v>
      </c>
      <c r="E12" s="72"/>
      <c r="F12" s="72">
        <f>-L9*450*1.04</f>
        <v>-16848</v>
      </c>
      <c r="G12" s="70">
        <f t="shared" si="0"/>
        <v>-16848</v>
      </c>
      <c r="I12" s="58"/>
      <c r="K12" s="60"/>
      <c r="L12" s="60"/>
    </row>
    <row r="13" spans="3:13">
      <c r="C13" s="74">
        <v>304</v>
      </c>
      <c r="D13" s="25" t="s">
        <v>124</v>
      </c>
      <c r="E13" s="72"/>
      <c r="F13" s="72">
        <f>-6*450*1.04</f>
        <v>-2808</v>
      </c>
      <c r="G13" s="75">
        <f t="shared" si="0"/>
        <v>-2808</v>
      </c>
      <c r="I13" s="58"/>
      <c r="K13" s="60"/>
      <c r="L13" s="60"/>
    </row>
    <row r="14" spans="3:13">
      <c r="C14" s="74">
        <v>305</v>
      </c>
      <c r="D14" s="19" t="s">
        <v>125</v>
      </c>
      <c r="E14" s="68"/>
      <c r="F14" s="68">
        <f>-(L9*70*2+500)*1.04</f>
        <v>-5761.6</v>
      </c>
      <c r="G14" s="76">
        <f t="shared" si="0"/>
        <v>-5761.6</v>
      </c>
      <c r="I14" s="58"/>
      <c r="K14" s="60"/>
      <c r="L14" s="60"/>
    </row>
    <row r="15" spans="3:13">
      <c r="C15" s="74">
        <v>306</v>
      </c>
      <c r="D15" s="19" t="s">
        <v>126</v>
      </c>
      <c r="E15" s="68">
        <f>L9*M17</f>
        <v>31860</v>
      </c>
      <c r="F15" s="68"/>
      <c r="G15" s="77">
        <f t="shared" si="0"/>
        <v>31860</v>
      </c>
      <c r="I15" s="58"/>
      <c r="K15" s="60"/>
      <c r="L15" s="60"/>
    </row>
    <row r="16" spans="3:13">
      <c r="C16" s="74">
        <v>307</v>
      </c>
      <c r="D16" s="33" t="s">
        <v>50</v>
      </c>
      <c r="E16" s="68">
        <v>0</v>
      </c>
      <c r="F16" s="68"/>
      <c r="G16" s="77">
        <f t="shared" si="0"/>
        <v>0</v>
      </c>
      <c r="I16" s="58"/>
      <c r="K16" s="60"/>
      <c r="L16" s="60"/>
    </row>
    <row r="17" spans="3:13">
      <c r="C17" s="74">
        <v>308</v>
      </c>
      <c r="D17" s="33" t="s">
        <v>127</v>
      </c>
      <c r="E17" s="68"/>
      <c r="F17" s="68">
        <f>-(20*L9*2)</f>
        <v>-1440</v>
      </c>
      <c r="G17" s="77">
        <f t="shared" si="0"/>
        <v>-1440</v>
      </c>
      <c r="I17" s="58"/>
      <c r="K17" s="59" t="s">
        <v>52</v>
      </c>
      <c r="L17" s="78">
        <f>(ABS(SUM(F10:F17))-I9)/L9</f>
        <v>1107.0888888888887</v>
      </c>
      <c r="M17" s="28">
        <v>885</v>
      </c>
    </row>
    <row r="18" spans="3:13">
      <c r="D18" s="79"/>
      <c r="E18" s="80">
        <f>SUM(E10:E17)</f>
        <v>31860</v>
      </c>
      <c r="F18" s="80">
        <f>SUM(F10:F17)</f>
        <v>-35857.599999999999</v>
      </c>
      <c r="G18" s="135">
        <f>SUM(G10:G17)</f>
        <v>-3997.5999999999985</v>
      </c>
      <c r="I18" s="58"/>
      <c r="K18" s="59" t="s">
        <v>53</v>
      </c>
      <c r="L18" s="82">
        <f>-(F14+F17)/L9</f>
        <v>200.04444444444445</v>
      </c>
    </row>
    <row r="19" spans="3:13">
      <c r="E19" s="56"/>
      <c r="F19" s="56"/>
      <c r="I19" s="58"/>
      <c r="K19" s="60"/>
      <c r="L19" s="60"/>
    </row>
    <row r="20" spans="3:13">
      <c r="E20" s="56"/>
      <c r="F20" s="56"/>
      <c r="I20" s="58"/>
      <c r="K20" s="60"/>
      <c r="L20" s="60"/>
    </row>
    <row r="21" spans="3:13" ht="20.25">
      <c r="D21" s="61" t="s">
        <v>128</v>
      </c>
      <c r="E21" s="56"/>
      <c r="F21" s="56"/>
      <c r="I21" s="58"/>
      <c r="K21" s="60"/>
      <c r="L21" s="60"/>
    </row>
    <row r="22" spans="3:13">
      <c r="E22" s="56"/>
      <c r="F22" s="56"/>
      <c r="I22" s="58"/>
      <c r="K22" s="60"/>
      <c r="L22" s="60"/>
    </row>
    <row r="23" spans="3:13" ht="18">
      <c r="C23" s="62" t="s">
        <v>39</v>
      </c>
      <c r="D23" s="63" t="s">
        <v>40</v>
      </c>
      <c r="E23" s="64" t="s">
        <v>41</v>
      </c>
      <c r="F23" s="64" t="s">
        <v>42</v>
      </c>
      <c r="G23" s="62" t="s">
        <v>4</v>
      </c>
      <c r="I23" s="58">
        <f>G32</f>
        <v>-8400</v>
      </c>
      <c r="J23" s="4">
        <v>18500</v>
      </c>
      <c r="K23" s="59" t="s">
        <v>43</v>
      </c>
      <c r="L23" s="66">
        <v>60</v>
      </c>
    </row>
    <row r="24" spans="3:13">
      <c r="C24" s="67">
        <v>401</v>
      </c>
      <c r="D24" s="71" t="s">
        <v>55</v>
      </c>
      <c r="E24" s="72"/>
      <c r="F24" s="83">
        <v>-14000</v>
      </c>
      <c r="G24" s="84">
        <f t="shared" ref="G24:G30" si="1">SUM(E24:F24)</f>
        <v>-14000</v>
      </c>
      <c r="I24" s="58"/>
      <c r="K24" s="60"/>
      <c r="L24" s="60"/>
    </row>
    <row r="25" spans="3:13">
      <c r="C25" s="67">
        <v>402</v>
      </c>
      <c r="D25" s="71" t="s">
        <v>56</v>
      </c>
      <c r="E25" s="72"/>
      <c r="F25" s="72">
        <v>-2500</v>
      </c>
      <c r="G25" s="85">
        <f t="shared" si="1"/>
        <v>-2500</v>
      </c>
      <c r="I25" s="58"/>
      <c r="K25" s="60"/>
      <c r="L25" s="60"/>
    </row>
    <row r="26" spans="3:13">
      <c r="C26" s="74">
        <v>403</v>
      </c>
      <c r="D26" s="19" t="s">
        <v>129</v>
      </c>
      <c r="E26" s="68"/>
      <c r="F26" s="86">
        <f>-700*60</f>
        <v>-42000</v>
      </c>
      <c r="G26" s="87">
        <f t="shared" si="1"/>
        <v>-42000</v>
      </c>
      <c r="I26" s="58"/>
      <c r="K26" s="60"/>
      <c r="L26" s="60"/>
    </row>
    <row r="27" spans="3:13">
      <c r="C27" s="74">
        <v>404</v>
      </c>
      <c r="D27" s="33" t="s">
        <v>58</v>
      </c>
      <c r="E27" s="68"/>
      <c r="F27" s="68">
        <f>-700*6</f>
        <v>-4200</v>
      </c>
      <c r="G27" s="88">
        <f t="shared" si="1"/>
        <v>-4200</v>
      </c>
      <c r="I27" s="58"/>
      <c r="K27" s="60"/>
      <c r="L27" s="60"/>
    </row>
    <row r="28" spans="3:13">
      <c r="C28" s="74">
        <v>405</v>
      </c>
      <c r="D28" s="33" t="s">
        <v>59</v>
      </c>
      <c r="E28" s="68"/>
      <c r="F28" s="68">
        <f>-L23*65*3</f>
        <v>-11700</v>
      </c>
      <c r="G28" s="87">
        <f t="shared" si="1"/>
        <v>-11700</v>
      </c>
      <c r="I28" s="58"/>
      <c r="K28" s="60"/>
      <c r="L28" s="60"/>
    </row>
    <row r="29" spans="3:13">
      <c r="C29" s="74">
        <v>406</v>
      </c>
      <c r="D29" s="19" t="s">
        <v>130</v>
      </c>
      <c r="E29" s="68">
        <f>L23*M31</f>
        <v>66000</v>
      </c>
      <c r="F29" s="68"/>
      <c r="G29" s="87">
        <f t="shared" si="1"/>
        <v>66000</v>
      </c>
      <c r="I29" s="58"/>
      <c r="K29" s="60"/>
      <c r="L29" s="60"/>
    </row>
    <row r="30" spans="3:13">
      <c r="C30" s="74">
        <v>407</v>
      </c>
      <c r="D30" s="33" t="s">
        <v>50</v>
      </c>
      <c r="E30" s="68">
        <v>0</v>
      </c>
      <c r="F30" s="68"/>
      <c r="G30" s="87">
        <f t="shared" si="1"/>
        <v>0</v>
      </c>
      <c r="I30" s="58"/>
      <c r="K30" s="60"/>
      <c r="L30" s="60"/>
    </row>
    <row r="31" spans="3:13">
      <c r="C31" s="74"/>
      <c r="D31" s="19"/>
      <c r="E31" s="68"/>
      <c r="F31" s="68"/>
      <c r="G31" s="87"/>
      <c r="I31" s="58"/>
      <c r="K31" s="59" t="s">
        <v>52</v>
      </c>
      <c r="L31" s="78">
        <f>(ABS(SUM(F24:F31))-I23)/L23</f>
        <v>1380</v>
      </c>
      <c r="M31" s="4">
        <v>1100</v>
      </c>
    </row>
    <row r="32" spans="3:13">
      <c r="D32" s="79"/>
      <c r="E32" s="80">
        <f>SUM(E24:E31)</f>
        <v>66000</v>
      </c>
      <c r="F32" s="80">
        <f>SUM(F24:F31)</f>
        <v>-74400</v>
      </c>
      <c r="G32" s="19">
        <f>SUM(G24:G31)</f>
        <v>-8400</v>
      </c>
      <c r="I32" s="58"/>
      <c r="K32" s="59" t="s">
        <v>53</v>
      </c>
      <c r="L32" s="60">
        <v>195</v>
      </c>
    </row>
    <row r="33" spans="3:13">
      <c r="E33" s="56"/>
      <c r="F33" s="56"/>
      <c r="G33" s="2"/>
      <c r="I33" s="58"/>
      <c r="K33" s="60"/>
      <c r="L33" s="60"/>
    </row>
    <row r="34" spans="3:13">
      <c r="E34" s="56"/>
      <c r="F34" s="56"/>
      <c r="I34" s="58"/>
      <c r="K34" s="60"/>
      <c r="L34" s="60"/>
    </row>
    <row r="35" spans="3:13" ht="20.25">
      <c r="D35" s="61" t="s">
        <v>131</v>
      </c>
      <c r="E35" s="56"/>
      <c r="F35" s="56"/>
      <c r="I35" s="58"/>
      <c r="K35" s="60"/>
      <c r="L35" s="60"/>
    </row>
    <row r="36" spans="3:13">
      <c r="E36" s="56"/>
      <c r="F36" s="56"/>
      <c r="I36" s="58"/>
      <c r="K36" s="60"/>
      <c r="L36" s="60"/>
    </row>
    <row r="37" spans="3:13" ht="18">
      <c r="C37" s="62" t="s">
        <v>39</v>
      </c>
      <c r="D37" s="63" t="s">
        <v>40</v>
      </c>
      <c r="E37" s="64" t="s">
        <v>41</v>
      </c>
      <c r="F37" s="64" t="s">
        <v>42</v>
      </c>
      <c r="G37" s="62" t="s">
        <v>4</v>
      </c>
      <c r="I37" s="58">
        <f>G49</f>
        <v>-5985</v>
      </c>
      <c r="J37" s="4">
        <v>13500</v>
      </c>
      <c r="K37" s="59" t="s">
        <v>43</v>
      </c>
      <c r="L37" s="66">
        <v>40</v>
      </c>
    </row>
    <row r="38" spans="3:13">
      <c r="C38" s="67">
        <v>501</v>
      </c>
      <c r="D38" s="71" t="s">
        <v>132</v>
      </c>
      <c r="E38" s="90"/>
      <c r="F38" s="91">
        <v>-15000</v>
      </c>
      <c r="G38" s="84">
        <f t="shared" ref="G38:G45" si="2">SUM(E38:F38)</f>
        <v>-15000</v>
      </c>
      <c r="I38" s="58"/>
      <c r="K38" s="60"/>
      <c r="L38" s="60"/>
    </row>
    <row r="39" spans="3:13">
      <c r="C39" s="67">
        <v>502</v>
      </c>
      <c r="D39" s="71" t="s">
        <v>56</v>
      </c>
      <c r="E39" s="90"/>
      <c r="F39" s="90">
        <v>-2500</v>
      </c>
      <c r="G39" s="84">
        <f t="shared" si="2"/>
        <v>-2500</v>
      </c>
      <c r="I39" s="58"/>
      <c r="K39" s="60"/>
      <c r="L39" s="60"/>
    </row>
    <row r="40" spans="3:13">
      <c r="C40" s="67">
        <v>503</v>
      </c>
      <c r="D40" s="71" t="s">
        <v>133</v>
      </c>
      <c r="E40" s="90"/>
      <c r="F40" s="90">
        <f>-5000</f>
        <v>-5000</v>
      </c>
      <c r="G40" s="84">
        <f t="shared" si="2"/>
        <v>-5000</v>
      </c>
      <c r="I40" s="58"/>
      <c r="K40" s="60"/>
      <c r="L40" s="60"/>
    </row>
    <row r="41" spans="3:13">
      <c r="C41" s="74">
        <v>504</v>
      </c>
      <c r="D41" s="92" t="s">
        <v>134</v>
      </c>
      <c r="E41" s="93"/>
      <c r="F41" s="93">
        <f>-250*45</f>
        <v>-11250</v>
      </c>
      <c r="G41" s="87">
        <f t="shared" si="2"/>
        <v>-11250</v>
      </c>
      <c r="I41" s="58"/>
      <c r="K41" s="60"/>
      <c r="L41" s="60"/>
    </row>
    <row r="42" spans="3:13">
      <c r="C42" s="74">
        <v>506</v>
      </c>
      <c r="D42" s="92" t="s">
        <v>65</v>
      </c>
      <c r="E42" s="93"/>
      <c r="F42" s="93">
        <f>-20*4*2</f>
        <v>-160</v>
      </c>
      <c r="G42" s="87">
        <f t="shared" si="2"/>
        <v>-160</v>
      </c>
      <c r="I42" s="58"/>
      <c r="K42" s="60"/>
      <c r="L42" s="60"/>
    </row>
    <row r="43" spans="3:13">
      <c r="C43" s="74">
        <v>507</v>
      </c>
      <c r="D43" s="92" t="s">
        <v>66</v>
      </c>
      <c r="E43" s="93"/>
      <c r="F43" s="93">
        <f>-250*4</f>
        <v>-1000</v>
      </c>
      <c r="G43" s="87">
        <f t="shared" si="2"/>
        <v>-1000</v>
      </c>
      <c r="I43" s="58"/>
      <c r="K43" s="60"/>
      <c r="L43" s="60"/>
    </row>
    <row r="44" spans="3:13">
      <c r="C44" s="74">
        <v>508</v>
      </c>
      <c r="D44" s="92" t="s">
        <v>67</v>
      </c>
      <c r="E44" s="93"/>
      <c r="F44" s="93">
        <f>-175*45</f>
        <v>-7875</v>
      </c>
      <c r="G44" s="87">
        <f t="shared" si="2"/>
        <v>-7875</v>
      </c>
      <c r="I44" s="58"/>
      <c r="K44" s="60"/>
      <c r="L44" s="60"/>
    </row>
    <row r="45" spans="3:13">
      <c r="C45" s="74">
        <v>509</v>
      </c>
      <c r="D45" s="92" t="s">
        <v>135</v>
      </c>
      <c r="E45" s="93">
        <f>L37*M48</f>
        <v>36800</v>
      </c>
      <c r="F45" s="93"/>
      <c r="G45" s="87">
        <f t="shared" si="2"/>
        <v>36800</v>
      </c>
      <c r="I45" s="58"/>
      <c r="K45" s="60"/>
      <c r="L45" s="60"/>
    </row>
    <row r="46" spans="3:13">
      <c r="C46" s="74">
        <v>510</v>
      </c>
      <c r="D46" s="94" t="s">
        <v>69</v>
      </c>
      <c r="E46" s="93">
        <v>0</v>
      </c>
      <c r="F46" s="33"/>
      <c r="G46" s="74">
        <v>0</v>
      </c>
      <c r="I46" s="58"/>
      <c r="K46" s="60"/>
      <c r="L46" s="60"/>
    </row>
    <row r="47" spans="3:13">
      <c r="C47" s="95">
        <v>511</v>
      </c>
      <c r="D47" s="96" t="s">
        <v>70</v>
      </c>
      <c r="E47" s="97">
        <v>0</v>
      </c>
      <c r="F47" s="98"/>
      <c r="G47" s="99">
        <v>0</v>
      </c>
      <c r="I47" s="58"/>
      <c r="K47" s="60"/>
      <c r="L47" s="60"/>
    </row>
    <row r="48" spans="3:13">
      <c r="C48" s="74"/>
      <c r="D48" s="19"/>
      <c r="E48" s="93"/>
      <c r="F48" s="93"/>
      <c r="G48" s="87">
        <f>SUM(E48:F48)</f>
        <v>0</v>
      </c>
      <c r="I48" s="58"/>
      <c r="K48" s="59" t="s">
        <v>52</v>
      </c>
      <c r="L48" s="78">
        <f>(ABS(SUM(F38:F48))-I37)/L37</f>
        <v>1219.25</v>
      </c>
      <c r="M48" s="4">
        <v>920</v>
      </c>
    </row>
    <row r="49" spans="3:12">
      <c r="E49" s="56">
        <f>SUM(E38:E48)</f>
        <v>36800</v>
      </c>
      <c r="F49" s="56">
        <f>SUM(F38:F48)</f>
        <v>-42785</v>
      </c>
      <c r="G49" s="19">
        <f>SUM(G38:G48)</f>
        <v>-5985</v>
      </c>
      <c r="I49" s="58"/>
      <c r="K49" s="59" t="s">
        <v>71</v>
      </c>
      <c r="L49" s="60"/>
    </row>
    <row r="50" spans="3:12">
      <c r="E50" s="56"/>
      <c r="F50" s="56"/>
      <c r="G50" s="2"/>
      <c r="I50" s="58"/>
      <c r="K50" s="60"/>
      <c r="L50" s="60"/>
    </row>
    <row r="51" spans="3:12">
      <c r="E51" s="56"/>
      <c r="F51" s="56"/>
      <c r="I51" s="58"/>
      <c r="K51" s="60"/>
      <c r="L51" s="60"/>
    </row>
    <row r="52" spans="3:12" ht="20.25">
      <c r="D52" s="61" t="s">
        <v>136</v>
      </c>
      <c r="E52" s="56"/>
      <c r="F52" s="56"/>
      <c r="I52" s="58"/>
      <c r="K52" s="60"/>
      <c r="L52" s="60"/>
    </row>
    <row r="53" spans="3:12">
      <c r="E53" s="56"/>
      <c r="F53" s="56"/>
      <c r="I53" s="58"/>
      <c r="K53" s="60"/>
      <c r="L53" s="60"/>
    </row>
    <row r="54" spans="3:12" ht="18">
      <c r="C54" s="62" t="s">
        <v>39</v>
      </c>
      <c r="D54" s="63" t="s">
        <v>40</v>
      </c>
      <c r="E54" s="64" t="s">
        <v>41</v>
      </c>
      <c r="F54" s="64" t="s">
        <v>42</v>
      </c>
      <c r="G54" s="62" t="s">
        <v>4</v>
      </c>
      <c r="I54" s="58">
        <f>G67</f>
        <v>-29380</v>
      </c>
      <c r="J54" s="4">
        <v>13500</v>
      </c>
      <c r="K54" s="59" t="s">
        <v>43</v>
      </c>
      <c r="L54" s="66">
        <v>32</v>
      </c>
    </row>
    <row r="55" spans="3:12">
      <c r="C55" s="67">
        <v>601</v>
      </c>
      <c r="D55" s="25" t="s">
        <v>137</v>
      </c>
      <c r="E55" s="90"/>
      <c r="F55" s="91">
        <v>-15000</v>
      </c>
      <c r="G55" s="84">
        <f>SUM(E55:F55)</f>
        <v>-15000</v>
      </c>
      <c r="I55" s="58"/>
      <c r="K55" s="60"/>
      <c r="L55" s="60"/>
    </row>
    <row r="56" spans="3:12">
      <c r="C56" s="67">
        <v>602</v>
      </c>
      <c r="D56" s="25" t="s">
        <v>56</v>
      </c>
      <c r="E56" s="90"/>
      <c r="F56" s="90">
        <v>-2500</v>
      </c>
      <c r="G56" s="84">
        <f>SUM(E56:F56)</f>
        <v>-2500</v>
      </c>
      <c r="I56" s="58"/>
      <c r="K56" s="60"/>
      <c r="L56" s="60"/>
    </row>
    <row r="57" spans="3:12">
      <c r="C57" s="74">
        <v>603</v>
      </c>
      <c r="D57" s="19" t="s">
        <v>138</v>
      </c>
      <c r="E57" s="93"/>
      <c r="F57" s="93">
        <f>-800*32</f>
        <v>-25600</v>
      </c>
      <c r="G57" s="87">
        <f>SUM(E57:F57)</f>
        <v>-25600</v>
      </c>
      <c r="I57" s="58"/>
      <c r="K57" s="60"/>
      <c r="L57" s="60"/>
    </row>
    <row r="58" spans="3:12">
      <c r="C58" s="74">
        <v>604</v>
      </c>
      <c r="D58" s="19" t="s">
        <v>139</v>
      </c>
      <c r="E58" s="93"/>
      <c r="F58" s="93">
        <f>-800*4</f>
        <v>-3200</v>
      </c>
      <c r="G58" s="87">
        <f>SUM(E58:F58)</f>
        <v>-3200</v>
      </c>
      <c r="I58" s="58"/>
      <c r="K58" s="60"/>
      <c r="L58" s="60"/>
    </row>
    <row r="59" spans="3:12">
      <c r="C59" s="74">
        <v>605</v>
      </c>
      <c r="D59" s="33" t="s">
        <v>77</v>
      </c>
      <c r="E59" s="93"/>
      <c r="F59" s="93">
        <f>-610*L54</f>
        <v>-19520</v>
      </c>
      <c r="G59" s="87">
        <f>F59</f>
        <v>-19520</v>
      </c>
      <c r="I59" s="58"/>
      <c r="K59" s="60"/>
      <c r="L59" s="60"/>
    </row>
    <row r="60" spans="3:12">
      <c r="C60" s="95">
        <v>606</v>
      </c>
      <c r="D60" s="33" t="s">
        <v>78</v>
      </c>
      <c r="E60" s="93"/>
      <c r="F60" s="93">
        <f>-1000*8</f>
        <v>-8000</v>
      </c>
      <c r="G60" s="87">
        <f>F60</f>
        <v>-8000</v>
      </c>
      <c r="I60" s="58"/>
      <c r="K60" s="60"/>
      <c r="L60" s="60"/>
    </row>
    <row r="61" spans="3:12">
      <c r="C61" s="95">
        <v>607</v>
      </c>
      <c r="D61" s="33" t="s">
        <v>79</v>
      </c>
      <c r="E61" s="93"/>
      <c r="F61" s="93">
        <f>-390*4</f>
        <v>-1560</v>
      </c>
      <c r="G61" s="87">
        <f>SUM(E61:F61)</f>
        <v>-1560</v>
      </c>
      <c r="I61" s="58"/>
      <c r="K61" s="60"/>
      <c r="L61" s="60"/>
    </row>
    <row r="62" spans="3:12">
      <c r="C62" s="95">
        <v>608</v>
      </c>
      <c r="D62" s="19" t="s">
        <v>140</v>
      </c>
      <c r="E62" s="100">
        <f>L54*M66</f>
        <v>48000</v>
      </c>
      <c r="F62" s="93"/>
      <c r="G62" s="87">
        <f>SUM(E62:F62)</f>
        <v>48000</v>
      </c>
      <c r="I62" s="58"/>
      <c r="K62" s="60"/>
      <c r="L62" s="60"/>
    </row>
    <row r="63" spans="3:12">
      <c r="C63" s="95">
        <v>609</v>
      </c>
      <c r="D63" s="96" t="s">
        <v>81</v>
      </c>
      <c r="E63" s="98">
        <v>0</v>
      </c>
      <c r="F63" s="98"/>
      <c r="G63" s="99"/>
      <c r="I63" s="58"/>
      <c r="K63" s="60"/>
      <c r="L63" s="60"/>
    </row>
    <row r="64" spans="3:12">
      <c r="C64" s="95"/>
      <c r="D64" s="96"/>
      <c r="E64" s="97"/>
      <c r="F64" s="98"/>
      <c r="G64" s="99"/>
      <c r="I64" s="58"/>
      <c r="K64" s="60"/>
      <c r="L64" s="60"/>
    </row>
    <row r="65" spans="3:13">
      <c r="C65" s="95"/>
      <c r="D65" s="96"/>
      <c r="E65" s="97"/>
      <c r="F65" s="98"/>
      <c r="G65" s="99"/>
      <c r="I65" s="58"/>
      <c r="K65" s="60"/>
      <c r="L65" s="60"/>
    </row>
    <row r="66" spans="3:13">
      <c r="C66" s="74">
        <v>610</v>
      </c>
      <c r="D66" s="19" t="s">
        <v>82</v>
      </c>
      <c r="E66" s="93"/>
      <c r="F66" s="93">
        <v>-2000</v>
      </c>
      <c r="G66" s="87">
        <f>SUM(E66:F66)</f>
        <v>-2000</v>
      </c>
      <c r="I66" s="58"/>
      <c r="K66" s="59" t="s">
        <v>52</v>
      </c>
      <c r="L66" s="78">
        <f>(ABS(SUM(F55:F66))-I54)/L54</f>
        <v>3336.25</v>
      </c>
      <c r="M66" s="4">
        <v>1500</v>
      </c>
    </row>
    <row r="67" spans="3:13">
      <c r="D67" s="28" t="s">
        <v>83</v>
      </c>
      <c r="E67" s="56">
        <f>SUM(E55:E66)</f>
        <v>48000</v>
      </c>
      <c r="F67" s="56">
        <f>SUM(F55:F66)</f>
        <v>-77380</v>
      </c>
      <c r="G67" s="19">
        <f>SUM(G55:G66)</f>
        <v>-29380</v>
      </c>
      <c r="I67" s="58"/>
      <c r="K67" s="59" t="s">
        <v>71</v>
      </c>
      <c r="L67" s="60"/>
    </row>
    <row r="68" spans="3:13">
      <c r="D68" s="28"/>
      <c r="E68" s="56"/>
      <c r="F68" s="56"/>
      <c r="I68" s="58"/>
      <c r="K68" s="60"/>
      <c r="L68" s="60"/>
    </row>
    <row r="69" spans="3:13">
      <c r="E69" s="56"/>
      <c r="F69" s="56"/>
      <c r="I69" s="58"/>
      <c r="K69" s="60"/>
      <c r="L69" s="60"/>
    </row>
    <row r="70" spans="3:13">
      <c r="D70" s="28"/>
      <c r="E70" s="56"/>
      <c r="F70" s="56"/>
      <c r="I70" s="58"/>
      <c r="K70" s="60"/>
      <c r="L70" s="60"/>
    </row>
    <row r="71" spans="3:13" ht="20.25">
      <c r="D71" s="61" t="s">
        <v>141</v>
      </c>
      <c r="E71" s="56"/>
      <c r="F71" s="56"/>
      <c r="I71" s="58"/>
      <c r="K71" s="60"/>
      <c r="L71" s="60"/>
    </row>
    <row r="72" spans="3:13">
      <c r="E72" s="56"/>
      <c r="F72" s="56"/>
      <c r="I72" s="58"/>
      <c r="K72" s="60"/>
      <c r="L72" s="60"/>
    </row>
    <row r="73" spans="3:13" ht="18">
      <c r="C73" s="62" t="s">
        <v>39</v>
      </c>
      <c r="D73" s="63" t="s">
        <v>40</v>
      </c>
      <c r="E73" s="64" t="s">
        <v>41</v>
      </c>
      <c r="F73" s="64" t="s">
        <v>42</v>
      </c>
      <c r="G73" s="62" t="s">
        <v>4</v>
      </c>
      <c r="I73" s="58">
        <f>G78</f>
        <v>0</v>
      </c>
      <c r="J73" s="4">
        <v>4800</v>
      </c>
      <c r="K73" s="60"/>
      <c r="L73" s="60">
        <v>53</v>
      </c>
    </row>
    <row r="74" spans="3:13">
      <c r="C74" s="67">
        <v>701</v>
      </c>
      <c r="D74" s="71" t="s">
        <v>85</v>
      </c>
      <c r="E74" s="90"/>
      <c r="F74" s="90">
        <v>0</v>
      </c>
      <c r="G74" s="84">
        <f>SUM(E74:F74)</f>
        <v>0</v>
      </c>
      <c r="I74" s="58"/>
      <c r="K74" s="60"/>
      <c r="L74" s="60"/>
    </row>
    <row r="75" spans="3:13">
      <c r="C75" s="101">
        <v>702</v>
      </c>
      <c r="D75" s="102" t="s">
        <v>86</v>
      </c>
      <c r="E75" s="103"/>
      <c r="F75" s="103">
        <v>-28100</v>
      </c>
      <c r="G75" s="84">
        <f>SUM(E75:F75)</f>
        <v>-28100</v>
      </c>
      <c r="I75" s="58"/>
      <c r="K75" s="60"/>
      <c r="L75" s="60"/>
    </row>
    <row r="76" spans="3:13">
      <c r="C76" s="95">
        <v>703</v>
      </c>
      <c r="D76" s="96" t="s">
        <v>87</v>
      </c>
      <c r="E76" s="98"/>
      <c r="F76" s="98">
        <v>-51700</v>
      </c>
      <c r="G76" s="84">
        <f>SUM(E76:F76)</f>
        <v>-51700</v>
      </c>
      <c r="I76" s="58"/>
      <c r="K76" s="60"/>
      <c r="L76" s="60"/>
    </row>
    <row r="77" spans="3:13">
      <c r="C77" s="74">
        <v>704</v>
      </c>
      <c r="D77" s="33" t="s">
        <v>88</v>
      </c>
      <c r="E77" s="93">
        <f>-SUM(F74:F77)</f>
        <v>79800</v>
      </c>
      <c r="F77" s="93"/>
      <c r="G77" s="84">
        <f>SUM(E77:F77)</f>
        <v>79800</v>
      </c>
      <c r="I77" s="58"/>
      <c r="K77" s="60"/>
      <c r="L77" s="60"/>
    </row>
    <row r="78" spans="3:13">
      <c r="E78" s="56">
        <f>SUM(E74:E77)</f>
        <v>79800</v>
      </c>
      <c r="F78" s="56">
        <f>SUM(F74:F77)</f>
        <v>-79800</v>
      </c>
      <c r="G78" s="19">
        <f>SUM(G74:G77)</f>
        <v>0</v>
      </c>
      <c r="I78" s="58"/>
      <c r="K78" s="60"/>
      <c r="L78" s="60">
        <f>G77/L73</f>
        <v>1505.6603773584907</v>
      </c>
    </row>
    <row r="79" spans="3:13">
      <c r="E79" s="56"/>
      <c r="F79" s="56"/>
      <c r="G79" s="2"/>
      <c r="I79" s="58"/>
      <c r="K79" s="60"/>
      <c r="L79" s="60"/>
    </row>
    <row r="80" spans="3:13">
      <c r="E80" s="56"/>
      <c r="F80" s="56"/>
      <c r="I80" s="58"/>
      <c r="K80" s="60"/>
      <c r="L80" s="60"/>
    </row>
    <row r="81" spans="3:12" ht="20.25">
      <c r="D81" s="61" t="s">
        <v>89</v>
      </c>
      <c r="E81" s="56"/>
      <c r="F81" s="56"/>
      <c r="I81" s="58"/>
      <c r="K81" s="60"/>
      <c r="L81" s="60"/>
    </row>
    <row r="82" spans="3:12">
      <c r="E82" s="56"/>
      <c r="F82" s="56"/>
      <c r="I82" s="58"/>
      <c r="K82" s="60"/>
      <c r="L82" s="60"/>
    </row>
    <row r="83" spans="3:12" ht="18">
      <c r="C83" s="62" t="s">
        <v>39</v>
      </c>
      <c r="D83" s="63" t="s">
        <v>40</v>
      </c>
      <c r="E83" s="64" t="s">
        <v>41</v>
      </c>
      <c r="F83" s="64" t="s">
        <v>42</v>
      </c>
      <c r="G83" s="62" t="s">
        <v>4</v>
      </c>
      <c r="I83" s="58">
        <f>G92</f>
        <v>-6000</v>
      </c>
      <c r="J83" s="4">
        <v>1000</v>
      </c>
      <c r="K83" s="60"/>
      <c r="L83" s="60"/>
    </row>
    <row r="84" spans="3:12">
      <c r="C84" s="67">
        <v>801</v>
      </c>
      <c r="D84" s="25" t="s">
        <v>90</v>
      </c>
      <c r="E84" s="90"/>
      <c r="F84" s="90">
        <v>-2000</v>
      </c>
      <c r="G84" s="84">
        <f t="shared" ref="G84:G89" si="3">SUM(E84:F84)</f>
        <v>-2000</v>
      </c>
      <c r="I84" s="58"/>
      <c r="K84" s="60"/>
      <c r="L84" s="60"/>
    </row>
    <row r="85" spans="3:12">
      <c r="C85" s="74">
        <v>802</v>
      </c>
      <c r="D85" s="33" t="s">
        <v>91</v>
      </c>
      <c r="E85" s="93"/>
      <c r="F85" s="93">
        <v>-1000</v>
      </c>
      <c r="G85" s="87">
        <f t="shared" si="3"/>
        <v>-1000</v>
      </c>
      <c r="I85" s="58"/>
      <c r="K85" s="60"/>
      <c r="L85" s="60"/>
    </row>
    <row r="86" spans="3:12">
      <c r="C86" s="74">
        <v>803</v>
      </c>
      <c r="D86" s="33" t="s">
        <v>142</v>
      </c>
      <c r="E86" s="93"/>
      <c r="F86" s="93">
        <v>0</v>
      </c>
      <c r="G86" s="87">
        <f t="shared" si="3"/>
        <v>0</v>
      </c>
      <c r="I86" s="58"/>
      <c r="K86" s="60"/>
      <c r="L86" s="60"/>
    </row>
    <row r="87" spans="3:12">
      <c r="C87" s="67">
        <v>804</v>
      </c>
      <c r="D87" s="33" t="s">
        <v>94</v>
      </c>
      <c r="E87" s="93"/>
      <c r="F87" s="93">
        <v>-2000</v>
      </c>
      <c r="G87" s="87">
        <f t="shared" si="3"/>
        <v>-2000</v>
      </c>
      <c r="I87" s="58"/>
      <c r="K87" s="60"/>
      <c r="L87" s="60"/>
    </row>
    <row r="88" spans="3:12">
      <c r="C88" s="74">
        <v>805</v>
      </c>
      <c r="D88" s="104" t="s">
        <v>95</v>
      </c>
      <c r="E88" s="98">
        <v>5000</v>
      </c>
      <c r="F88" s="98"/>
      <c r="G88" s="87">
        <f t="shared" si="3"/>
        <v>5000</v>
      </c>
      <c r="I88" s="58"/>
      <c r="K88" s="60"/>
      <c r="L88" s="60"/>
    </row>
    <row r="89" spans="3:12">
      <c r="C89" s="95">
        <v>806</v>
      </c>
      <c r="D89" s="96" t="s">
        <v>96</v>
      </c>
      <c r="E89" s="98"/>
      <c r="F89" s="98">
        <v>-5000</v>
      </c>
      <c r="G89" s="87">
        <f t="shared" si="3"/>
        <v>-5000</v>
      </c>
      <c r="I89" s="58"/>
      <c r="K89" s="60"/>
      <c r="L89" s="60"/>
    </row>
    <row r="90" spans="3:12">
      <c r="C90" s="95"/>
      <c r="D90" s="96"/>
      <c r="E90" s="98"/>
      <c r="F90" s="98"/>
      <c r="G90" s="99"/>
      <c r="I90" s="58"/>
      <c r="K90" s="60"/>
      <c r="L90" s="60"/>
    </row>
    <row r="91" spans="3:12">
      <c r="C91" s="74">
        <v>807</v>
      </c>
      <c r="D91" s="19" t="s">
        <v>97</v>
      </c>
      <c r="E91" s="93"/>
      <c r="F91" s="93">
        <v>-1000</v>
      </c>
      <c r="G91" s="87">
        <f>SUM(E91:F91)</f>
        <v>-1000</v>
      </c>
      <c r="I91" s="58"/>
      <c r="K91" s="60"/>
      <c r="L91" s="60"/>
    </row>
    <row r="92" spans="3:12">
      <c r="E92" s="56"/>
      <c r="F92" s="56"/>
      <c r="G92" s="19">
        <f>SUM(G84:G91)</f>
        <v>-6000</v>
      </c>
      <c r="I92" s="58"/>
      <c r="K92" s="60"/>
      <c r="L92" s="60"/>
    </row>
    <row r="93" spans="3:12">
      <c r="E93" s="56"/>
      <c r="F93" s="56"/>
      <c r="G93" s="2"/>
      <c r="I93" s="58"/>
    </row>
    <row r="94" spans="3:12">
      <c r="E94" s="56"/>
      <c r="F94" s="56"/>
      <c r="G94" s="2"/>
      <c r="I94" s="58"/>
    </row>
    <row r="95" spans="3:12">
      <c r="E95" s="56"/>
      <c r="F95" s="56" t="s">
        <v>98</v>
      </c>
      <c r="G95" s="105">
        <f>G18+G32+G49+G78+G67+G92</f>
        <v>-53762.6</v>
      </c>
      <c r="I95" s="58"/>
    </row>
    <row r="97" spans="3:9" ht="20.25">
      <c r="D97" s="61" t="s">
        <v>99</v>
      </c>
      <c r="E97" s="56"/>
      <c r="F97" s="56"/>
    </row>
    <row r="98" spans="3:9">
      <c r="E98" s="56"/>
      <c r="F98" s="56"/>
    </row>
    <row r="99" spans="3:9" ht="18">
      <c r="C99" s="62" t="s">
        <v>39</v>
      </c>
      <c r="D99" s="63" t="s">
        <v>40</v>
      </c>
      <c r="E99" s="64" t="s">
        <v>41</v>
      </c>
      <c r="F99" s="64" t="s">
        <v>42</v>
      </c>
      <c r="G99" s="62" t="s">
        <v>4</v>
      </c>
      <c r="I99" s="58">
        <f>G105</f>
        <v>7000</v>
      </c>
    </row>
    <row r="100" spans="3:9">
      <c r="C100" s="67">
        <v>3177</v>
      </c>
      <c r="D100" s="25" t="s">
        <v>100</v>
      </c>
      <c r="E100" s="90">
        <v>23000</v>
      </c>
      <c r="F100" s="90"/>
      <c r="G100" s="84">
        <f>SUM(E100:F100)</f>
        <v>23000</v>
      </c>
      <c r="I100" s="58"/>
    </row>
    <row r="101" spans="3:9">
      <c r="C101" s="74">
        <v>4177</v>
      </c>
      <c r="D101" s="19" t="s">
        <v>101</v>
      </c>
      <c r="E101" s="93"/>
      <c r="F101" s="93">
        <v>-15000</v>
      </c>
      <c r="G101" s="87">
        <f>SUM(E101:F101)</f>
        <v>-15000</v>
      </c>
      <c r="I101" s="58"/>
    </row>
    <row r="102" spans="3:9">
      <c r="C102" s="74">
        <v>4177</v>
      </c>
      <c r="D102" s="19" t="s">
        <v>102</v>
      </c>
      <c r="E102" s="93"/>
      <c r="F102" s="93">
        <v>-500</v>
      </c>
      <c r="G102" s="87">
        <f>SUM(E102:F102)</f>
        <v>-500</v>
      </c>
      <c r="I102" s="58"/>
    </row>
    <row r="103" spans="3:9">
      <c r="C103" s="74" t="s">
        <v>143</v>
      </c>
      <c r="D103" s="19" t="s">
        <v>144</v>
      </c>
      <c r="E103" s="93">
        <v>500</v>
      </c>
      <c r="F103" s="93">
        <v>-1000</v>
      </c>
      <c r="G103" s="87">
        <f>SUM(E103:F103)</f>
        <v>-500</v>
      </c>
      <c r="I103" s="58"/>
    </row>
    <row r="104" spans="3:9">
      <c r="C104" s="74"/>
      <c r="D104" s="19"/>
      <c r="E104" s="93"/>
      <c r="F104" s="93"/>
      <c r="G104" s="87"/>
      <c r="I104" s="58"/>
    </row>
    <row r="105" spans="3:9">
      <c r="E105" s="56"/>
      <c r="F105" s="56"/>
      <c r="G105" s="19">
        <f>SUM(G100:G104)</f>
        <v>7000</v>
      </c>
      <c r="I105" s="58"/>
    </row>
    <row r="106" spans="3:9">
      <c r="I106" s="58"/>
    </row>
    <row r="107" spans="3:9">
      <c r="I107" s="58"/>
    </row>
    <row r="108" spans="3:9">
      <c r="I108" s="58"/>
    </row>
    <row r="109" spans="3:9" ht="20.25">
      <c r="D109" s="61" t="s">
        <v>103</v>
      </c>
      <c r="E109" s="56"/>
      <c r="F109" s="56"/>
      <c r="I109" s="58"/>
    </row>
    <row r="110" spans="3:9">
      <c r="E110" s="56"/>
      <c r="F110" s="56"/>
      <c r="I110" s="58"/>
    </row>
    <row r="111" spans="3:9" ht="18">
      <c r="C111" s="62" t="s">
        <v>39</v>
      </c>
      <c r="D111" s="63" t="s">
        <v>40</v>
      </c>
      <c r="E111" s="64" t="s">
        <v>41</v>
      </c>
      <c r="F111" s="64" t="s">
        <v>42</v>
      </c>
      <c r="G111" s="62" t="s">
        <v>4</v>
      </c>
      <c r="I111" s="58">
        <f>G117</f>
        <v>5000</v>
      </c>
    </row>
    <row r="112" spans="3:9">
      <c r="C112" s="67">
        <v>3178</v>
      </c>
      <c r="D112" s="25" t="s">
        <v>145</v>
      </c>
      <c r="E112" s="90">
        <v>81000</v>
      </c>
      <c r="F112" s="90"/>
      <c r="G112" s="87">
        <f>SUM(E112:F112)</f>
        <v>81000</v>
      </c>
      <c r="I112" s="58"/>
    </row>
    <row r="113" spans="3:9">
      <c r="C113" s="74">
        <v>4178</v>
      </c>
      <c r="D113" s="19" t="s">
        <v>19</v>
      </c>
      <c r="E113" s="93"/>
      <c r="F113" s="93">
        <v>-60000</v>
      </c>
      <c r="G113" s="87">
        <f>SUM(E113:F113)</f>
        <v>-60000</v>
      </c>
      <c r="I113" s="58"/>
    </row>
    <row r="114" spans="3:9">
      <c r="C114" s="74">
        <v>4178</v>
      </c>
      <c r="D114" s="19" t="s">
        <v>105</v>
      </c>
      <c r="E114" s="93"/>
      <c r="F114" s="93">
        <v>-16000</v>
      </c>
      <c r="G114" s="87">
        <f>SUM(E114:F114)</f>
        <v>-16000</v>
      </c>
      <c r="I114" s="58"/>
    </row>
    <row r="115" spans="3:9">
      <c r="C115" s="74"/>
      <c r="D115" s="19"/>
      <c r="E115" s="93"/>
      <c r="F115" s="93"/>
      <c r="G115" s="87">
        <f>SUM(E115:F115)</f>
        <v>0</v>
      </c>
      <c r="I115" s="58"/>
    </row>
    <row r="116" spans="3:9">
      <c r="C116" s="74"/>
      <c r="D116" s="19"/>
      <c r="E116" s="93"/>
      <c r="F116" s="93"/>
      <c r="G116" s="87"/>
      <c r="I116" s="58"/>
    </row>
    <row r="117" spans="3:9">
      <c r="E117" s="56"/>
      <c r="F117" s="56"/>
      <c r="G117" s="19">
        <f>SUM(G112:G116)</f>
        <v>5000</v>
      </c>
      <c r="I117" s="58"/>
    </row>
    <row r="118" spans="3:9">
      <c r="I118" s="58"/>
    </row>
    <row r="119" spans="3:9">
      <c r="I119" s="58"/>
    </row>
    <row r="120" spans="3:9" ht="20.25">
      <c r="D120" s="61" t="s">
        <v>106</v>
      </c>
      <c r="E120" s="56"/>
      <c r="F120" s="56"/>
      <c r="I120" s="58"/>
    </row>
    <row r="121" spans="3:9">
      <c r="E121" s="56"/>
      <c r="F121" s="56"/>
      <c r="I121" s="58"/>
    </row>
    <row r="122" spans="3:9" ht="18">
      <c r="C122" s="62" t="s">
        <v>39</v>
      </c>
      <c r="D122" s="63" t="s">
        <v>40</v>
      </c>
      <c r="E122" s="64" t="s">
        <v>41</v>
      </c>
      <c r="F122" s="64" t="s">
        <v>42</v>
      </c>
      <c r="G122" s="62" t="s">
        <v>4</v>
      </c>
      <c r="I122" s="58">
        <f>G128</f>
        <v>-10000</v>
      </c>
    </row>
    <row r="123" spans="3:9">
      <c r="C123" s="67">
        <v>7610</v>
      </c>
      <c r="D123" s="25" t="s">
        <v>146</v>
      </c>
      <c r="E123" s="90"/>
      <c r="F123" s="90">
        <v>-10000</v>
      </c>
      <c r="G123" s="87">
        <f>SUM(E123:F123)</f>
        <v>-10000</v>
      </c>
      <c r="I123" s="58"/>
    </row>
    <row r="124" spans="3:9">
      <c r="C124" s="74"/>
      <c r="D124" s="19"/>
      <c r="E124" s="93"/>
      <c r="F124" s="93"/>
      <c r="G124" s="87">
        <f>SUM(E124:F124)</f>
        <v>0</v>
      </c>
      <c r="I124" s="58"/>
    </row>
    <row r="125" spans="3:9">
      <c r="C125" s="74"/>
      <c r="D125" s="19"/>
      <c r="E125" s="93"/>
      <c r="F125" s="93"/>
      <c r="G125" s="87">
        <f>SUM(E125:F125)</f>
        <v>0</v>
      </c>
      <c r="I125" s="58"/>
    </row>
    <row r="126" spans="3:9">
      <c r="C126" s="74"/>
      <c r="D126" s="19"/>
      <c r="E126" s="93"/>
      <c r="F126" s="93"/>
      <c r="G126" s="87">
        <f>SUM(E126:F126)</f>
        <v>0</v>
      </c>
      <c r="I126" s="58"/>
    </row>
    <row r="127" spans="3:9">
      <c r="C127" s="74"/>
      <c r="D127" s="19"/>
      <c r="E127" s="93"/>
      <c r="F127" s="93"/>
      <c r="G127" s="87"/>
      <c r="I127" s="58"/>
    </row>
    <row r="128" spans="3:9">
      <c r="E128" s="56"/>
      <c r="F128" s="56"/>
      <c r="G128" s="19">
        <f>SUM(G123:G127)</f>
        <v>-10000</v>
      </c>
      <c r="I128" s="58"/>
    </row>
    <row r="129" spans="9:9">
      <c r="I129" s="58"/>
    </row>
    <row r="130" spans="9:9">
      <c r="I130" s="58"/>
    </row>
    <row r="131" spans="9:9">
      <c r="I131" s="58"/>
    </row>
    <row r="132" spans="9:9">
      <c r="I132" s="65">
        <f>SUM(I9:I131)</f>
        <v>-51762.6</v>
      </c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AMJ92"/>
  <sheetViews>
    <sheetView topLeftCell="BW1" workbookViewId="0"/>
  </sheetViews>
  <sheetFormatPr defaultRowHeight="14.25"/>
  <cols>
    <col min="1" max="1" width="7.875" style="136" customWidth="1"/>
    <col min="2" max="2" width="42.375" style="136" customWidth="1"/>
    <col min="3" max="3" width="12.375" style="137" customWidth="1"/>
    <col min="4" max="4" width="9.875" style="137" customWidth="1"/>
    <col min="5" max="5" width="7.125" style="136" customWidth="1"/>
    <col min="6" max="6" width="7.875" style="137" customWidth="1"/>
    <col min="7" max="7" width="11.75" style="137" customWidth="1"/>
    <col min="8" max="8" width="7.375" style="136" customWidth="1"/>
    <col min="9" max="9" width="41.875" style="136" customWidth="1"/>
    <col min="10" max="10" width="12.375" style="137" customWidth="1"/>
    <col min="11" max="11" width="10.25" style="137" customWidth="1"/>
    <col min="12" max="12" width="7" style="136" customWidth="1"/>
    <col min="13" max="13" width="8.25" style="136" customWidth="1"/>
    <col min="14" max="14" width="7.5" style="136" customWidth="1"/>
    <col min="15" max="15" width="40.375" style="136" customWidth="1"/>
    <col min="16" max="16" width="12.75" style="136" customWidth="1"/>
    <col min="17" max="17" width="10.125" style="136" customWidth="1"/>
    <col min="18" max="18" width="7" style="136" customWidth="1"/>
    <col min="19" max="19" width="8.25" style="136" customWidth="1"/>
    <col min="20" max="20" width="7.75" style="136" customWidth="1"/>
    <col min="21" max="21" width="45" style="136" customWidth="1"/>
    <col min="22" max="22" width="12.375" style="136" customWidth="1"/>
    <col min="23" max="23" width="9.625" style="136" customWidth="1"/>
    <col min="24" max="24" width="13.875" style="136" customWidth="1"/>
    <col min="25" max="25" width="10.75" style="136" customWidth="1"/>
    <col min="26" max="26" width="8.25" style="136" customWidth="1"/>
    <col min="27" max="27" width="8.625" style="136" customWidth="1"/>
    <col min="28" max="28" width="55.625" style="136" customWidth="1"/>
    <col min="29" max="29" width="13.125" style="136" customWidth="1"/>
    <col min="30" max="30" width="12" style="136" customWidth="1"/>
    <col min="31" max="31" width="16.125" style="136" customWidth="1"/>
    <col min="32" max="33" width="8.25" style="136" customWidth="1"/>
    <col min="34" max="34" width="8.625" style="136" customWidth="1"/>
    <col min="35" max="35" width="55.625" style="136" customWidth="1"/>
    <col min="36" max="36" width="13.125" style="136" customWidth="1"/>
    <col min="37" max="37" width="12" style="136" customWidth="1"/>
    <col min="38" max="38" width="16.125" style="136" customWidth="1"/>
    <col min="39" max="39" width="8.25" style="136" customWidth="1"/>
    <col min="40" max="40" width="10.125" style="136" customWidth="1"/>
    <col min="41" max="41" width="8.25" style="136" customWidth="1"/>
    <col min="42" max="42" width="14.375" style="136" customWidth="1"/>
    <col min="43" max="43" width="10.75" style="136" customWidth="1"/>
    <col min="44" max="45" width="8.25" style="136" customWidth="1"/>
    <col min="46" max="46" width="8.625" style="136" customWidth="1"/>
    <col min="47" max="47" width="55.625" style="136" customWidth="1"/>
    <col min="48" max="48" width="13.125" style="136" customWidth="1"/>
    <col min="49" max="49" width="12" style="136" customWidth="1"/>
    <col min="50" max="50" width="16.125" style="136" customWidth="1"/>
    <col min="51" max="51" width="8.25" style="136" customWidth="1"/>
    <col min="52" max="52" width="10.125" style="136" customWidth="1"/>
    <col min="53" max="53" width="8.25" style="136" customWidth="1"/>
    <col min="54" max="54" width="14.375" style="136" customWidth="1"/>
    <col min="55" max="55" width="10.75" style="136" customWidth="1"/>
    <col min="56" max="57" width="8.25" style="136" customWidth="1"/>
    <col min="58" max="58" width="8.625" style="136" customWidth="1"/>
    <col min="59" max="59" width="55.625" style="136" customWidth="1"/>
    <col min="60" max="60" width="13.125" style="136" customWidth="1"/>
    <col min="61" max="61" width="12" style="136" customWidth="1"/>
    <col min="62" max="62" width="16.125" style="136" customWidth="1"/>
    <col min="63" max="63" width="8.25" style="136" customWidth="1"/>
    <col min="64" max="64" width="10.125" style="136" customWidth="1"/>
    <col min="65" max="65" width="8.25" style="136" customWidth="1"/>
    <col min="66" max="66" width="14.375" style="136" customWidth="1"/>
    <col min="67" max="67" width="10.75" style="136" customWidth="1"/>
    <col min="68" max="72" width="8.25" style="136" customWidth="1"/>
    <col min="73" max="73" width="63.875" style="136" customWidth="1"/>
    <col min="74" max="74" width="13" style="136" customWidth="1"/>
    <col min="75" max="75" width="9.625" style="136" customWidth="1"/>
    <col min="76" max="76" width="7.125" style="136" customWidth="1"/>
    <col min="77" max="77" width="8.25" style="136" customWidth="1"/>
    <col min="78" max="78" width="10.25" style="136" customWidth="1"/>
    <col min="79" max="81" width="8.25" style="136" customWidth="1"/>
    <col min="82" max="82" width="11" style="136" customWidth="1"/>
    <col min="83" max="256" width="8.25" style="136" customWidth="1"/>
    <col min="257" max="257" width="7.875" style="136" customWidth="1"/>
    <col min="258" max="258" width="42.375" style="136" customWidth="1"/>
    <col min="259" max="259" width="12.375" style="136" customWidth="1"/>
    <col min="260" max="260" width="9.875" style="136" customWidth="1"/>
    <col min="261" max="261" width="7.125" style="136" customWidth="1"/>
    <col min="262" max="262" width="7.875" style="136" customWidth="1"/>
    <col min="263" max="263" width="11.75" style="136" customWidth="1"/>
    <col min="264" max="264" width="7.375" style="136" customWidth="1"/>
    <col min="265" max="265" width="41.875" style="136" customWidth="1"/>
    <col min="266" max="266" width="12.375" style="136" customWidth="1"/>
    <col min="267" max="267" width="10.25" style="136" customWidth="1"/>
    <col min="268" max="268" width="7" style="136" customWidth="1"/>
    <col min="269" max="269" width="8.25" style="136" customWidth="1"/>
    <col min="270" max="270" width="7.5" style="136" customWidth="1"/>
    <col min="271" max="271" width="40.375" style="136" customWidth="1"/>
    <col min="272" max="272" width="12.75" style="136" customWidth="1"/>
    <col min="273" max="273" width="10.125" style="136" customWidth="1"/>
    <col min="274" max="274" width="7" style="136" customWidth="1"/>
    <col min="275" max="275" width="8.25" style="136" customWidth="1"/>
    <col min="276" max="276" width="7.75" style="136" customWidth="1"/>
    <col min="277" max="277" width="45" style="136" customWidth="1"/>
    <col min="278" max="278" width="12.375" style="136" customWidth="1"/>
    <col min="279" max="279" width="9.625" style="136" customWidth="1"/>
    <col min="280" max="280" width="13.875" style="136" customWidth="1"/>
    <col min="281" max="281" width="10.75" style="136" customWidth="1"/>
    <col min="282" max="282" width="8.25" style="136" customWidth="1"/>
    <col min="283" max="283" width="8.625" style="136" customWidth="1"/>
    <col min="284" max="284" width="55.625" style="136" customWidth="1"/>
    <col min="285" max="285" width="13.125" style="136" customWidth="1"/>
    <col min="286" max="286" width="12" style="136" customWidth="1"/>
    <col min="287" max="287" width="16.125" style="136" customWidth="1"/>
    <col min="288" max="289" width="8.25" style="136" customWidth="1"/>
    <col min="290" max="290" width="8.625" style="136" customWidth="1"/>
    <col min="291" max="291" width="55.625" style="136" customWidth="1"/>
    <col min="292" max="292" width="13.125" style="136" customWidth="1"/>
    <col min="293" max="293" width="12" style="136" customWidth="1"/>
    <col min="294" max="294" width="16.125" style="136" customWidth="1"/>
    <col min="295" max="295" width="8.25" style="136" customWidth="1"/>
    <col min="296" max="296" width="10.125" style="136" customWidth="1"/>
    <col min="297" max="297" width="8.25" style="136" customWidth="1"/>
    <col min="298" max="298" width="14.375" style="136" customWidth="1"/>
    <col min="299" max="299" width="10.75" style="136" customWidth="1"/>
    <col min="300" max="301" width="8.25" style="136" customWidth="1"/>
    <col min="302" max="302" width="8.625" style="136" customWidth="1"/>
    <col min="303" max="303" width="55.625" style="136" customWidth="1"/>
    <col min="304" max="304" width="13.125" style="136" customWidth="1"/>
    <col min="305" max="305" width="12" style="136" customWidth="1"/>
    <col min="306" max="306" width="16.125" style="136" customWidth="1"/>
    <col min="307" max="307" width="8.25" style="136" customWidth="1"/>
    <col min="308" max="308" width="10.125" style="136" customWidth="1"/>
    <col min="309" max="309" width="8.25" style="136" customWidth="1"/>
    <col min="310" max="310" width="14.375" style="136" customWidth="1"/>
    <col min="311" max="311" width="10.75" style="136" customWidth="1"/>
    <col min="312" max="313" width="8.25" style="136" customWidth="1"/>
    <col min="314" max="314" width="8.625" style="136" customWidth="1"/>
    <col min="315" max="315" width="55.625" style="136" customWidth="1"/>
    <col min="316" max="316" width="13.125" style="136" customWidth="1"/>
    <col min="317" max="317" width="12" style="136" customWidth="1"/>
    <col min="318" max="318" width="16.125" style="136" customWidth="1"/>
    <col min="319" max="319" width="8.25" style="136" customWidth="1"/>
    <col min="320" max="320" width="10.125" style="136" customWidth="1"/>
    <col min="321" max="321" width="8.25" style="136" customWidth="1"/>
    <col min="322" max="322" width="14.375" style="136" customWidth="1"/>
    <col min="323" max="323" width="10.75" style="136" customWidth="1"/>
    <col min="324" max="328" width="8.25" style="136" customWidth="1"/>
    <col min="329" max="329" width="63.875" style="136" customWidth="1"/>
    <col min="330" max="330" width="13" style="136" customWidth="1"/>
    <col min="331" max="331" width="9.625" style="136" customWidth="1"/>
    <col min="332" max="332" width="7.125" style="136" customWidth="1"/>
    <col min="333" max="333" width="8.25" style="136" customWidth="1"/>
    <col min="334" max="334" width="10.25" style="136" customWidth="1"/>
    <col min="335" max="337" width="8.25" style="136" customWidth="1"/>
    <col min="338" max="338" width="11" style="136" customWidth="1"/>
    <col min="339" max="512" width="8.25" style="136" customWidth="1"/>
    <col min="513" max="513" width="7.875" style="136" customWidth="1"/>
    <col min="514" max="514" width="42.375" style="136" customWidth="1"/>
    <col min="515" max="515" width="12.375" style="136" customWidth="1"/>
    <col min="516" max="516" width="9.875" style="136" customWidth="1"/>
    <col min="517" max="517" width="7.125" style="136" customWidth="1"/>
    <col min="518" max="518" width="7.875" style="136" customWidth="1"/>
    <col min="519" max="519" width="11.75" style="136" customWidth="1"/>
    <col min="520" max="520" width="7.375" style="136" customWidth="1"/>
    <col min="521" max="521" width="41.875" style="136" customWidth="1"/>
    <col min="522" max="522" width="12.375" style="136" customWidth="1"/>
    <col min="523" max="523" width="10.25" style="136" customWidth="1"/>
    <col min="524" max="524" width="7" style="136" customWidth="1"/>
    <col min="525" max="525" width="8.25" style="136" customWidth="1"/>
    <col min="526" max="526" width="7.5" style="136" customWidth="1"/>
    <col min="527" max="527" width="40.375" style="136" customWidth="1"/>
    <col min="528" max="528" width="12.75" style="136" customWidth="1"/>
    <col min="529" max="529" width="10.125" style="136" customWidth="1"/>
    <col min="530" max="530" width="7" style="136" customWidth="1"/>
    <col min="531" max="531" width="8.25" style="136" customWidth="1"/>
    <col min="532" max="532" width="7.75" style="136" customWidth="1"/>
    <col min="533" max="533" width="45" style="136" customWidth="1"/>
    <col min="534" max="534" width="12.375" style="136" customWidth="1"/>
    <col min="535" max="535" width="9.625" style="136" customWidth="1"/>
    <col min="536" max="536" width="13.875" style="136" customWidth="1"/>
    <col min="537" max="537" width="10.75" style="136" customWidth="1"/>
    <col min="538" max="538" width="8.25" style="136" customWidth="1"/>
    <col min="539" max="539" width="8.625" style="136" customWidth="1"/>
    <col min="540" max="540" width="55.625" style="136" customWidth="1"/>
    <col min="541" max="541" width="13.125" style="136" customWidth="1"/>
    <col min="542" max="542" width="12" style="136" customWidth="1"/>
    <col min="543" max="543" width="16.125" style="136" customWidth="1"/>
    <col min="544" max="545" width="8.25" style="136" customWidth="1"/>
    <col min="546" max="546" width="8.625" style="136" customWidth="1"/>
    <col min="547" max="547" width="55.625" style="136" customWidth="1"/>
    <col min="548" max="548" width="13.125" style="136" customWidth="1"/>
    <col min="549" max="549" width="12" style="136" customWidth="1"/>
    <col min="550" max="550" width="16.125" style="136" customWidth="1"/>
    <col min="551" max="551" width="8.25" style="136" customWidth="1"/>
    <col min="552" max="552" width="10.125" style="136" customWidth="1"/>
    <col min="553" max="553" width="8.25" style="136" customWidth="1"/>
    <col min="554" max="554" width="14.375" style="136" customWidth="1"/>
    <col min="555" max="555" width="10.75" style="136" customWidth="1"/>
    <col min="556" max="557" width="8.25" style="136" customWidth="1"/>
    <col min="558" max="558" width="8.625" style="136" customWidth="1"/>
    <col min="559" max="559" width="55.625" style="136" customWidth="1"/>
    <col min="560" max="560" width="13.125" style="136" customWidth="1"/>
    <col min="561" max="561" width="12" style="136" customWidth="1"/>
    <col min="562" max="562" width="16.125" style="136" customWidth="1"/>
    <col min="563" max="563" width="8.25" style="136" customWidth="1"/>
    <col min="564" max="564" width="10.125" style="136" customWidth="1"/>
    <col min="565" max="565" width="8.25" style="136" customWidth="1"/>
    <col min="566" max="566" width="14.375" style="136" customWidth="1"/>
    <col min="567" max="567" width="10.75" style="136" customWidth="1"/>
    <col min="568" max="569" width="8.25" style="136" customWidth="1"/>
    <col min="570" max="570" width="8.625" style="136" customWidth="1"/>
    <col min="571" max="571" width="55.625" style="136" customWidth="1"/>
    <col min="572" max="572" width="13.125" style="136" customWidth="1"/>
    <col min="573" max="573" width="12" style="136" customWidth="1"/>
    <col min="574" max="574" width="16.125" style="136" customWidth="1"/>
    <col min="575" max="575" width="8.25" style="136" customWidth="1"/>
    <col min="576" max="576" width="10.125" style="136" customWidth="1"/>
    <col min="577" max="577" width="8.25" style="136" customWidth="1"/>
    <col min="578" max="578" width="14.375" style="136" customWidth="1"/>
    <col min="579" max="579" width="10.75" style="136" customWidth="1"/>
    <col min="580" max="584" width="8.25" style="136" customWidth="1"/>
    <col min="585" max="585" width="63.875" style="136" customWidth="1"/>
    <col min="586" max="586" width="13" style="136" customWidth="1"/>
    <col min="587" max="587" width="9.625" style="136" customWidth="1"/>
    <col min="588" max="588" width="7.125" style="136" customWidth="1"/>
    <col min="589" max="589" width="8.25" style="136" customWidth="1"/>
    <col min="590" max="590" width="10.25" style="136" customWidth="1"/>
    <col min="591" max="593" width="8.25" style="136" customWidth="1"/>
    <col min="594" max="594" width="11" style="136" customWidth="1"/>
    <col min="595" max="768" width="8.25" style="136" customWidth="1"/>
    <col min="769" max="769" width="7.875" style="136" customWidth="1"/>
    <col min="770" max="770" width="42.375" style="136" customWidth="1"/>
    <col min="771" max="771" width="12.375" style="136" customWidth="1"/>
    <col min="772" max="772" width="9.875" style="136" customWidth="1"/>
    <col min="773" max="773" width="7.125" style="136" customWidth="1"/>
    <col min="774" max="774" width="7.875" style="136" customWidth="1"/>
    <col min="775" max="775" width="11.75" style="136" customWidth="1"/>
    <col min="776" max="776" width="7.375" style="136" customWidth="1"/>
    <col min="777" max="777" width="41.875" style="136" customWidth="1"/>
    <col min="778" max="778" width="12.375" style="136" customWidth="1"/>
    <col min="779" max="779" width="10.25" style="136" customWidth="1"/>
    <col min="780" max="780" width="7" style="136" customWidth="1"/>
    <col min="781" max="781" width="8.25" style="136" customWidth="1"/>
    <col min="782" max="782" width="7.5" style="136" customWidth="1"/>
    <col min="783" max="783" width="40.375" style="136" customWidth="1"/>
    <col min="784" max="784" width="12.75" style="136" customWidth="1"/>
    <col min="785" max="785" width="10.125" style="136" customWidth="1"/>
    <col min="786" max="786" width="7" style="136" customWidth="1"/>
    <col min="787" max="787" width="8.25" style="136" customWidth="1"/>
    <col min="788" max="788" width="7.75" style="136" customWidth="1"/>
    <col min="789" max="789" width="45" style="136" customWidth="1"/>
    <col min="790" max="790" width="12.375" style="136" customWidth="1"/>
    <col min="791" max="791" width="9.625" style="136" customWidth="1"/>
    <col min="792" max="792" width="13.875" style="136" customWidth="1"/>
    <col min="793" max="793" width="10.75" style="136" customWidth="1"/>
    <col min="794" max="794" width="8.25" style="136" customWidth="1"/>
    <col min="795" max="795" width="8.625" style="136" customWidth="1"/>
    <col min="796" max="796" width="55.625" style="136" customWidth="1"/>
    <col min="797" max="797" width="13.125" style="136" customWidth="1"/>
    <col min="798" max="798" width="12" style="136" customWidth="1"/>
    <col min="799" max="799" width="16.125" style="136" customWidth="1"/>
    <col min="800" max="801" width="8.25" style="136" customWidth="1"/>
    <col min="802" max="802" width="8.625" style="136" customWidth="1"/>
    <col min="803" max="803" width="55.625" style="136" customWidth="1"/>
    <col min="804" max="804" width="13.125" style="136" customWidth="1"/>
    <col min="805" max="805" width="12" style="136" customWidth="1"/>
    <col min="806" max="806" width="16.125" style="136" customWidth="1"/>
    <col min="807" max="807" width="8.25" style="136" customWidth="1"/>
    <col min="808" max="808" width="10.125" style="136" customWidth="1"/>
    <col min="809" max="809" width="8.25" style="136" customWidth="1"/>
    <col min="810" max="810" width="14.375" style="136" customWidth="1"/>
    <col min="811" max="811" width="10.75" style="136" customWidth="1"/>
    <col min="812" max="813" width="8.25" style="136" customWidth="1"/>
    <col min="814" max="814" width="8.625" style="136" customWidth="1"/>
    <col min="815" max="815" width="55.625" style="136" customWidth="1"/>
    <col min="816" max="816" width="13.125" style="136" customWidth="1"/>
    <col min="817" max="817" width="12" style="136" customWidth="1"/>
    <col min="818" max="818" width="16.125" style="136" customWidth="1"/>
    <col min="819" max="819" width="8.25" style="136" customWidth="1"/>
    <col min="820" max="820" width="10.125" style="136" customWidth="1"/>
    <col min="821" max="821" width="8.25" style="136" customWidth="1"/>
    <col min="822" max="822" width="14.375" style="136" customWidth="1"/>
    <col min="823" max="823" width="10.75" style="136" customWidth="1"/>
    <col min="824" max="825" width="8.25" style="136" customWidth="1"/>
    <col min="826" max="826" width="8.625" style="136" customWidth="1"/>
    <col min="827" max="827" width="55.625" style="136" customWidth="1"/>
    <col min="828" max="828" width="13.125" style="136" customWidth="1"/>
    <col min="829" max="829" width="12" style="136" customWidth="1"/>
    <col min="830" max="830" width="16.125" style="136" customWidth="1"/>
    <col min="831" max="831" width="8.25" style="136" customWidth="1"/>
    <col min="832" max="832" width="10.125" style="136" customWidth="1"/>
    <col min="833" max="833" width="8.25" style="136" customWidth="1"/>
    <col min="834" max="834" width="14.375" style="136" customWidth="1"/>
    <col min="835" max="835" width="10.75" style="136" customWidth="1"/>
    <col min="836" max="840" width="8.25" style="136" customWidth="1"/>
    <col min="841" max="841" width="63.875" style="136" customWidth="1"/>
    <col min="842" max="842" width="13" style="136" customWidth="1"/>
    <col min="843" max="843" width="9.625" style="136" customWidth="1"/>
    <col min="844" max="844" width="7.125" style="136" customWidth="1"/>
    <col min="845" max="845" width="8.25" style="136" customWidth="1"/>
    <col min="846" max="846" width="10.25" style="136" customWidth="1"/>
    <col min="847" max="849" width="8.25" style="136" customWidth="1"/>
    <col min="850" max="850" width="11" style="136" customWidth="1"/>
    <col min="851" max="1024" width="8.25" style="136" customWidth="1"/>
  </cols>
  <sheetData>
    <row r="2" spans="1:82" ht="23.25">
      <c r="B2" s="138" t="s">
        <v>147</v>
      </c>
      <c r="F2" s="137" t="s">
        <v>148</v>
      </c>
      <c r="G2" s="137" t="s">
        <v>149</v>
      </c>
      <c r="I2" s="138" t="s">
        <v>150</v>
      </c>
      <c r="O2" s="138" t="s">
        <v>151</v>
      </c>
      <c r="U2" s="138" t="s">
        <v>152</v>
      </c>
      <c r="W2" s="137">
        <v>20091205</v>
      </c>
      <c r="Z2" s="139"/>
      <c r="AB2" s="138" t="s">
        <v>153</v>
      </c>
      <c r="AD2" s="137"/>
      <c r="AI2" s="138" t="s">
        <v>154</v>
      </c>
      <c r="AK2" s="137"/>
      <c r="AU2" s="138" t="s">
        <v>155</v>
      </c>
      <c r="AW2" s="137"/>
      <c r="BG2" s="138" t="s">
        <v>156</v>
      </c>
      <c r="BI2" s="137"/>
      <c r="BU2" s="138" t="s">
        <v>157</v>
      </c>
      <c r="BW2" s="137"/>
    </row>
    <row r="3" spans="1:82">
      <c r="B3" s="140" t="s">
        <v>158</v>
      </c>
      <c r="F3" s="137" t="s">
        <v>159</v>
      </c>
      <c r="I3" s="140" t="s">
        <v>158</v>
      </c>
      <c r="O3" s="140" t="s">
        <v>160</v>
      </c>
      <c r="U3" s="140" t="s">
        <v>33</v>
      </c>
      <c r="V3" s="137"/>
      <c r="W3" s="137"/>
      <c r="AB3" s="140" t="s">
        <v>33</v>
      </c>
      <c r="AC3" s="137"/>
      <c r="AD3" s="137"/>
      <c r="AI3" s="140" t="s">
        <v>33</v>
      </c>
      <c r="AJ3" s="137"/>
      <c r="AK3" s="137"/>
      <c r="AN3" s="141" t="s">
        <v>34</v>
      </c>
      <c r="AP3" s="142" t="s">
        <v>35</v>
      </c>
      <c r="AQ3" s="143"/>
      <c r="AU3" s="140" t="s">
        <v>33</v>
      </c>
      <c r="AV3" s="137"/>
      <c r="AW3" s="137"/>
      <c r="AZ3" s="141" t="s">
        <v>34</v>
      </c>
      <c r="BB3" s="142" t="s">
        <v>35</v>
      </c>
      <c r="BC3" s="143"/>
      <c r="BG3" s="140" t="s">
        <v>33</v>
      </c>
      <c r="BH3" s="137"/>
      <c r="BI3" s="137"/>
      <c r="BL3" s="141" t="s">
        <v>34</v>
      </c>
      <c r="BM3" s="136">
        <v>2013</v>
      </c>
      <c r="BN3" s="142" t="s">
        <v>35</v>
      </c>
      <c r="BO3" s="143"/>
      <c r="BP3" s="136" t="s">
        <v>36</v>
      </c>
      <c r="BU3" s="140" t="s">
        <v>33</v>
      </c>
      <c r="BV3" s="137"/>
      <c r="BW3" s="137"/>
      <c r="BZ3" s="141" t="s">
        <v>34</v>
      </c>
      <c r="CA3" s="136">
        <v>2013</v>
      </c>
      <c r="CB3" s="142" t="s">
        <v>35</v>
      </c>
      <c r="CC3" s="143"/>
      <c r="CD3" s="136" t="s">
        <v>36</v>
      </c>
    </row>
    <row r="4" spans="1:82">
      <c r="B4" s="140" t="s">
        <v>161</v>
      </c>
      <c r="F4" s="137">
        <v>2008</v>
      </c>
      <c r="I4" s="140" t="s">
        <v>162</v>
      </c>
      <c r="O4" s="140" t="s">
        <v>163</v>
      </c>
      <c r="U4" s="140" t="s">
        <v>37</v>
      </c>
      <c r="V4" s="137"/>
      <c r="W4" s="137"/>
      <c r="AB4" s="140" t="s">
        <v>37</v>
      </c>
      <c r="AC4" s="137"/>
      <c r="AD4" s="137"/>
      <c r="AI4" s="140" t="s">
        <v>37</v>
      </c>
      <c r="AJ4" s="137"/>
      <c r="AK4" s="137"/>
      <c r="AN4" s="141"/>
      <c r="AP4" s="143"/>
      <c r="AQ4" s="143"/>
      <c r="AU4" s="140" t="s">
        <v>37</v>
      </c>
      <c r="AV4" s="137"/>
      <c r="AW4" s="137"/>
      <c r="AZ4" s="141"/>
      <c r="BB4" s="143"/>
      <c r="BC4" s="143"/>
      <c r="BG4" s="140" t="s">
        <v>37</v>
      </c>
      <c r="BH4" s="137"/>
      <c r="BI4" s="137"/>
      <c r="BL4" s="141"/>
      <c r="BN4" s="143"/>
      <c r="BO4" s="143"/>
      <c r="BU4" s="140" t="s">
        <v>37</v>
      </c>
      <c r="BV4" s="137"/>
      <c r="BW4" s="137"/>
      <c r="BZ4" s="141"/>
      <c r="CB4" s="143"/>
      <c r="CC4" s="143"/>
    </row>
    <row r="5" spans="1:82">
      <c r="V5" s="137"/>
      <c r="W5" s="137"/>
      <c r="AC5" s="137"/>
      <c r="AD5" s="137"/>
      <c r="AJ5" s="137"/>
      <c r="AK5" s="137"/>
      <c r="AN5" s="141"/>
      <c r="AP5" s="143"/>
      <c r="AQ5" s="143"/>
      <c r="AV5" s="137"/>
      <c r="AW5" s="137"/>
      <c r="AZ5" s="141"/>
      <c r="BB5" s="143"/>
      <c r="BC5" s="143"/>
      <c r="BH5" s="137"/>
      <c r="BI5" s="137"/>
      <c r="BL5" s="141"/>
      <c r="BN5" s="143"/>
      <c r="BO5" s="143"/>
      <c r="BV5" s="137"/>
      <c r="BW5" s="137"/>
      <c r="BZ5" s="141"/>
      <c r="CB5" s="143"/>
      <c r="CC5" s="143"/>
    </row>
    <row r="6" spans="1:82">
      <c r="E6" s="144"/>
      <c r="L6" s="144"/>
      <c r="V6" s="137"/>
      <c r="W6" s="137"/>
      <c r="X6" s="144"/>
      <c r="AC6" s="137"/>
      <c r="AD6" s="137"/>
      <c r="AE6" s="144"/>
      <c r="AJ6" s="137"/>
      <c r="AK6" s="137"/>
      <c r="AL6" s="144"/>
      <c r="AN6" s="141"/>
      <c r="AP6" s="143"/>
      <c r="AQ6" s="143"/>
      <c r="AV6" s="137"/>
      <c r="AW6" s="137"/>
      <c r="AX6" s="144"/>
      <c r="AZ6" s="141"/>
      <c r="BB6" s="143"/>
      <c r="BC6" s="143"/>
      <c r="BH6" s="137"/>
      <c r="BI6" s="137"/>
      <c r="BJ6" s="144"/>
      <c r="BL6" s="141"/>
      <c r="BN6" s="143"/>
      <c r="BO6" s="143"/>
      <c r="BV6" s="137"/>
      <c r="BW6" s="137"/>
      <c r="BX6" s="144"/>
      <c r="BZ6" s="141"/>
      <c r="CB6" s="143"/>
      <c r="CC6" s="143"/>
    </row>
    <row r="7" spans="1:82" ht="20.25">
      <c r="B7" s="145" t="s">
        <v>164</v>
      </c>
      <c r="I7" s="145" t="s">
        <v>165</v>
      </c>
      <c r="O7" s="145" t="s">
        <v>165</v>
      </c>
      <c r="P7" s="137"/>
      <c r="Q7" s="137"/>
      <c r="U7" s="145" t="s">
        <v>166</v>
      </c>
      <c r="V7" s="137"/>
      <c r="W7" s="137"/>
      <c r="Y7" s="139"/>
      <c r="Z7" s="139"/>
      <c r="AB7" s="145" t="s">
        <v>167</v>
      </c>
      <c r="AC7" s="137"/>
      <c r="AD7" s="137"/>
      <c r="AF7" s="139"/>
      <c r="AG7" s="139"/>
      <c r="AI7" s="145" t="s">
        <v>168</v>
      </c>
      <c r="AJ7" s="137"/>
      <c r="AK7" s="137"/>
      <c r="AN7" s="141"/>
      <c r="AP7" s="143"/>
      <c r="AQ7" s="143"/>
      <c r="AU7" s="145" t="s">
        <v>169</v>
      </c>
      <c r="AV7" s="137"/>
      <c r="AW7" s="137"/>
      <c r="AZ7" s="141"/>
      <c r="BB7" s="143"/>
      <c r="BC7" s="143"/>
      <c r="BG7" s="145" t="s">
        <v>170</v>
      </c>
      <c r="BH7" s="137"/>
      <c r="BI7" s="137"/>
      <c r="BL7" s="141"/>
      <c r="BN7" s="143"/>
      <c r="BO7" s="143"/>
      <c r="BU7" s="145" t="s">
        <v>171</v>
      </c>
      <c r="BV7" s="137"/>
      <c r="BW7" s="137"/>
      <c r="BZ7" s="141"/>
      <c r="CB7" s="143"/>
      <c r="CC7" s="143"/>
    </row>
    <row r="8" spans="1:82">
      <c r="P8" s="137"/>
      <c r="Q8" s="137"/>
      <c r="V8" s="137"/>
      <c r="W8" s="137"/>
      <c r="AC8" s="137"/>
      <c r="AD8" s="137"/>
      <c r="AJ8" s="137"/>
      <c r="AK8" s="137"/>
      <c r="AN8" s="141"/>
      <c r="AP8" s="143"/>
      <c r="AQ8" s="143"/>
      <c r="AV8" s="137"/>
      <c r="AW8" s="137"/>
      <c r="AZ8" s="141"/>
      <c r="BB8" s="143"/>
      <c r="BC8" s="143"/>
      <c r="BH8" s="137"/>
      <c r="BI8" s="137"/>
      <c r="BL8" s="141"/>
      <c r="BN8" s="143"/>
      <c r="BO8" s="143"/>
      <c r="BV8" s="137"/>
      <c r="BW8" s="137"/>
      <c r="BZ8" s="141"/>
      <c r="CB8" s="143"/>
      <c r="CC8" s="143"/>
    </row>
    <row r="9" spans="1:82" ht="18">
      <c r="A9" s="146" t="s">
        <v>39</v>
      </c>
      <c r="B9" s="147" t="s">
        <v>40</v>
      </c>
      <c r="C9" s="148" t="s">
        <v>41</v>
      </c>
      <c r="D9" s="148" t="s">
        <v>42</v>
      </c>
      <c r="E9" s="146" t="s">
        <v>4</v>
      </c>
      <c r="G9" s="137" t="s">
        <v>172</v>
      </c>
      <c r="H9" s="146" t="s">
        <v>39</v>
      </c>
      <c r="I9" s="147" t="s">
        <v>40</v>
      </c>
      <c r="J9" s="148" t="s">
        <v>41</v>
      </c>
      <c r="K9" s="148" t="s">
        <v>42</v>
      </c>
      <c r="L9" s="146" t="s">
        <v>4</v>
      </c>
      <c r="N9" s="146" t="s">
        <v>39</v>
      </c>
      <c r="O9" s="147" t="s">
        <v>40</v>
      </c>
      <c r="P9" s="148" t="s">
        <v>41</v>
      </c>
      <c r="Q9" s="148" t="s">
        <v>42</v>
      </c>
      <c r="R9" s="149" t="s">
        <v>4</v>
      </c>
      <c r="T9" s="146" t="s">
        <v>39</v>
      </c>
      <c r="U9" s="147" t="s">
        <v>40</v>
      </c>
      <c r="V9" s="148" t="s">
        <v>41</v>
      </c>
      <c r="W9" s="148" t="s">
        <v>42</v>
      </c>
      <c r="X9" s="146" t="s">
        <v>4</v>
      </c>
      <c r="AA9" s="146" t="s">
        <v>39</v>
      </c>
      <c r="AB9" s="147" t="s">
        <v>40</v>
      </c>
      <c r="AC9" s="148" t="s">
        <v>41</v>
      </c>
      <c r="AD9" s="148" t="s">
        <v>42</v>
      </c>
      <c r="AE9" s="146" t="s">
        <v>4</v>
      </c>
      <c r="AH9" s="146" t="s">
        <v>39</v>
      </c>
      <c r="AI9" s="147" t="s">
        <v>40</v>
      </c>
      <c r="AJ9" s="148" t="s">
        <v>41</v>
      </c>
      <c r="AK9" s="148" t="s">
        <v>42</v>
      </c>
      <c r="AL9" s="146" t="s">
        <v>4</v>
      </c>
      <c r="AN9" s="141">
        <v>9000</v>
      </c>
      <c r="AP9" s="142" t="s">
        <v>43</v>
      </c>
      <c r="AQ9" s="150">
        <v>36</v>
      </c>
      <c r="AT9" s="146" t="s">
        <v>39</v>
      </c>
      <c r="AU9" s="147" t="s">
        <v>40</v>
      </c>
      <c r="AV9" s="148" t="s">
        <v>41</v>
      </c>
      <c r="AW9" s="148" t="s">
        <v>42</v>
      </c>
      <c r="AX9" s="146" t="s">
        <v>4</v>
      </c>
      <c r="AZ9" s="141">
        <v>3000</v>
      </c>
      <c r="BB9" s="142" t="s">
        <v>43</v>
      </c>
      <c r="BC9" s="150">
        <v>36</v>
      </c>
      <c r="BF9" s="146" t="s">
        <v>39</v>
      </c>
      <c r="BG9" s="147" t="s">
        <v>40</v>
      </c>
      <c r="BH9" s="148" t="s">
        <v>41</v>
      </c>
      <c r="BI9" s="148" t="s">
        <v>42</v>
      </c>
      <c r="BJ9" s="146" t="s">
        <v>4</v>
      </c>
      <c r="BL9" s="141">
        <v>11000</v>
      </c>
      <c r="BM9" s="136">
        <v>1500</v>
      </c>
      <c r="BN9" s="142" t="s">
        <v>43</v>
      </c>
      <c r="BO9" s="150">
        <v>36</v>
      </c>
      <c r="BT9" s="146" t="s">
        <v>39</v>
      </c>
      <c r="BU9" s="147" t="s">
        <v>40</v>
      </c>
      <c r="BV9" s="148" t="s">
        <v>41</v>
      </c>
      <c r="BW9" s="148" t="s">
        <v>42</v>
      </c>
      <c r="BX9" s="146" t="s">
        <v>4</v>
      </c>
      <c r="BZ9" s="141">
        <v>4000</v>
      </c>
      <c r="CA9" s="136">
        <v>1500</v>
      </c>
      <c r="CB9" s="142" t="s">
        <v>43</v>
      </c>
      <c r="CC9" s="150">
        <v>36</v>
      </c>
    </row>
    <row r="10" spans="1:82">
      <c r="A10" s="151"/>
      <c r="B10" s="152" t="s">
        <v>173</v>
      </c>
      <c r="C10" s="153"/>
      <c r="D10" s="154">
        <v>-10000</v>
      </c>
      <c r="E10" s="155">
        <f>SUM(C10:D10)</f>
        <v>-10000</v>
      </c>
      <c r="G10" s="137">
        <v>-5618</v>
      </c>
      <c r="H10" s="151"/>
      <c r="I10" s="152" t="s">
        <v>174</v>
      </c>
      <c r="J10" s="153"/>
      <c r="K10" s="156">
        <v>-20000</v>
      </c>
      <c r="L10" s="155">
        <f>SUM(J10:K10)</f>
        <v>-20000</v>
      </c>
      <c r="M10" s="136" t="s">
        <v>175</v>
      </c>
      <c r="N10" s="151">
        <v>301</v>
      </c>
      <c r="O10" s="152" t="s">
        <v>174</v>
      </c>
      <c r="P10" s="153"/>
      <c r="Q10" s="157">
        <v>-20000</v>
      </c>
      <c r="R10" s="158">
        <f>SUM(P10:Q10)</f>
        <v>-20000</v>
      </c>
      <c r="T10" s="151">
        <v>301</v>
      </c>
      <c r="U10" s="152" t="s">
        <v>55</v>
      </c>
      <c r="V10" s="153"/>
      <c r="W10" s="157">
        <v>-10000</v>
      </c>
      <c r="X10" s="159">
        <f t="shared" ref="X10:X15" si="0">SUM(V10:W10)</f>
        <v>-10000</v>
      </c>
      <c r="AA10" s="151">
        <v>301</v>
      </c>
      <c r="AB10" s="152" t="s">
        <v>174</v>
      </c>
      <c r="AC10" s="153"/>
      <c r="AD10" s="157">
        <v>-22000</v>
      </c>
      <c r="AE10" s="158">
        <f>SUM(AC10:AD10)</f>
        <v>-22000</v>
      </c>
      <c r="AH10" s="151">
        <v>301</v>
      </c>
      <c r="AI10" s="152" t="s">
        <v>176</v>
      </c>
      <c r="AJ10" s="153"/>
      <c r="AK10" s="160">
        <v>-8268</v>
      </c>
      <c r="AL10" s="161">
        <f t="shared" ref="AL10:AL17" si="1">SUM(AJ10:AK10)</f>
        <v>-8268</v>
      </c>
      <c r="AN10" s="141"/>
      <c r="AP10" s="143"/>
      <c r="AQ10" s="143"/>
      <c r="AT10" s="151">
        <v>301</v>
      </c>
      <c r="AU10" s="152" t="s">
        <v>176</v>
      </c>
      <c r="AV10" s="153"/>
      <c r="AW10" s="160">
        <v>0</v>
      </c>
      <c r="AX10" s="161">
        <f t="shared" ref="AX10:AX17" si="2">SUM(AV10:AW10)</f>
        <v>0</v>
      </c>
      <c r="AZ10" s="141"/>
      <c r="BB10" s="143"/>
      <c r="BC10" s="143"/>
      <c r="BF10" s="151">
        <v>301</v>
      </c>
      <c r="BG10" s="152" t="s">
        <v>177</v>
      </c>
      <c r="BH10" s="153"/>
      <c r="BI10" s="160">
        <v>-10900</v>
      </c>
      <c r="BJ10" s="161">
        <f t="shared" ref="BJ10:BJ17" si="3">SUM(BH10:BI10)</f>
        <v>-10900</v>
      </c>
      <c r="BL10" s="141"/>
      <c r="BN10" s="143"/>
      <c r="BO10" s="143"/>
      <c r="BT10" s="151">
        <v>301</v>
      </c>
      <c r="BU10" s="162" t="s">
        <v>178</v>
      </c>
      <c r="BV10" s="153"/>
      <c r="BW10" s="160">
        <v>0</v>
      </c>
      <c r="BX10" s="161">
        <f t="shared" ref="BX10:BX17" si="4">SUM(BV10:BW10)</f>
        <v>0</v>
      </c>
      <c r="BZ10" s="141"/>
      <c r="CB10" s="143"/>
      <c r="CC10" s="143"/>
    </row>
    <row r="11" spans="1:82">
      <c r="A11" s="151"/>
      <c r="B11" s="152"/>
      <c r="C11" s="154"/>
      <c r="D11" s="154"/>
      <c r="E11" s="155"/>
      <c r="H11" s="151"/>
      <c r="I11" s="152"/>
      <c r="J11" s="154"/>
      <c r="K11" s="156"/>
      <c r="L11" s="155"/>
      <c r="N11" s="151"/>
      <c r="O11" s="152"/>
      <c r="P11" s="154"/>
      <c r="Q11" s="157"/>
      <c r="R11" s="158"/>
      <c r="T11" s="151">
        <v>302</v>
      </c>
      <c r="U11" s="163" t="s">
        <v>179</v>
      </c>
      <c r="V11" s="153"/>
      <c r="W11" s="153">
        <v>0</v>
      </c>
      <c r="X11" s="159">
        <f t="shared" si="0"/>
        <v>0</v>
      </c>
      <c r="AA11" s="151">
        <v>302</v>
      </c>
      <c r="AB11" s="152"/>
      <c r="AC11" s="154"/>
      <c r="AD11" s="157"/>
      <c r="AE11" s="158"/>
      <c r="AH11" s="151">
        <v>302</v>
      </c>
      <c r="AI11" s="152" t="s">
        <v>180</v>
      </c>
      <c r="AJ11" s="154"/>
      <c r="AK11" s="157"/>
      <c r="AL11" s="161">
        <f t="shared" si="1"/>
        <v>0</v>
      </c>
      <c r="AN11" s="141"/>
      <c r="AP11" s="143"/>
      <c r="AQ11" s="143"/>
      <c r="AT11" s="151">
        <v>302</v>
      </c>
      <c r="AU11" s="152" t="s">
        <v>180</v>
      </c>
      <c r="AV11" s="154"/>
      <c r="AW11" s="157"/>
      <c r="AX11" s="161">
        <f t="shared" si="2"/>
        <v>0</v>
      </c>
      <c r="AZ11" s="141"/>
      <c r="BB11" s="143"/>
      <c r="BC11" s="143"/>
      <c r="BF11" s="151">
        <v>302</v>
      </c>
      <c r="BG11" s="152" t="s">
        <v>45</v>
      </c>
      <c r="BH11" s="154"/>
      <c r="BI11" s="157">
        <v>-2000</v>
      </c>
      <c r="BJ11" s="161">
        <f t="shared" si="3"/>
        <v>-2000</v>
      </c>
      <c r="BL11" s="141"/>
      <c r="BN11" s="143"/>
      <c r="BO11" s="143"/>
      <c r="BT11" s="151">
        <v>302</v>
      </c>
      <c r="BU11" s="152" t="s">
        <v>45</v>
      </c>
      <c r="BV11" s="154"/>
      <c r="BW11" s="157">
        <v>0</v>
      </c>
      <c r="BX11" s="161">
        <f t="shared" si="4"/>
        <v>0</v>
      </c>
      <c r="BZ11" s="141"/>
      <c r="CB11" s="143"/>
      <c r="CC11" s="143"/>
    </row>
    <row r="12" spans="1:82">
      <c r="A12" s="151"/>
      <c r="B12" s="152" t="s">
        <v>181</v>
      </c>
      <c r="C12" s="154"/>
      <c r="D12" s="154">
        <v>-14000</v>
      </c>
      <c r="E12" s="155">
        <f>SUM(C12:D12)</f>
        <v>-14000</v>
      </c>
      <c r="G12" s="137">
        <v>-12350</v>
      </c>
      <c r="H12" s="151"/>
      <c r="I12" s="152" t="s">
        <v>182</v>
      </c>
      <c r="J12" s="154"/>
      <c r="K12" s="154">
        <v>-21000</v>
      </c>
      <c r="L12" s="155">
        <f>SUM(J12:K12)</f>
        <v>-21000</v>
      </c>
      <c r="N12" s="151">
        <v>302</v>
      </c>
      <c r="O12" s="152" t="s">
        <v>182</v>
      </c>
      <c r="P12" s="154"/>
      <c r="Q12" s="154">
        <v>-21000</v>
      </c>
      <c r="R12" s="158">
        <f>SUM(P12:Q12)</f>
        <v>-21000</v>
      </c>
      <c r="T12" s="151">
        <v>303</v>
      </c>
      <c r="U12" s="152" t="s">
        <v>183</v>
      </c>
      <c r="V12" s="154"/>
      <c r="W12" s="154">
        <f>-400*36</f>
        <v>-14400</v>
      </c>
      <c r="X12" s="164">
        <f t="shared" si="0"/>
        <v>-14400</v>
      </c>
      <c r="AA12" s="151">
        <v>303</v>
      </c>
      <c r="AB12" s="152" t="s">
        <v>184</v>
      </c>
      <c r="AC12" s="154"/>
      <c r="AD12" s="154">
        <v>-18000</v>
      </c>
      <c r="AE12" s="158">
        <f t="shared" ref="AE12:AE17" si="5">SUM(AC12:AD12)</f>
        <v>-18000</v>
      </c>
      <c r="AH12" s="151">
        <v>303</v>
      </c>
      <c r="AI12" s="152" t="s">
        <v>184</v>
      </c>
      <c r="AJ12" s="154"/>
      <c r="AK12" s="154">
        <v>-18000</v>
      </c>
      <c r="AL12" s="161">
        <f t="shared" si="1"/>
        <v>-18000</v>
      </c>
      <c r="AN12" s="141"/>
      <c r="AP12" s="143"/>
      <c r="AQ12" s="143"/>
      <c r="AT12" s="151">
        <v>303</v>
      </c>
      <c r="AU12" s="152" t="s">
        <v>184</v>
      </c>
      <c r="AV12" s="154"/>
      <c r="AW12" s="154">
        <v>-18000</v>
      </c>
      <c r="AX12" s="161">
        <f t="shared" si="2"/>
        <v>-18000</v>
      </c>
      <c r="AZ12" s="141"/>
      <c r="BB12" s="143"/>
      <c r="BC12" s="143"/>
      <c r="BF12" s="151">
        <v>303</v>
      </c>
      <c r="BG12" s="152" t="s">
        <v>123</v>
      </c>
      <c r="BH12" s="154"/>
      <c r="BI12" s="154">
        <f>-BO9*450*1.11</f>
        <v>-17982</v>
      </c>
      <c r="BJ12" s="161">
        <f t="shared" si="3"/>
        <v>-17982</v>
      </c>
      <c r="BL12" s="141"/>
      <c r="BN12" s="143"/>
      <c r="BO12" s="143"/>
      <c r="BT12" s="151">
        <v>303</v>
      </c>
      <c r="BU12" s="162" t="s">
        <v>46</v>
      </c>
      <c r="BV12" s="154"/>
      <c r="BW12" s="154">
        <f>-CC9*450</f>
        <v>-16200</v>
      </c>
      <c r="BX12" s="161">
        <f t="shared" si="4"/>
        <v>-16200</v>
      </c>
      <c r="BZ12" s="141"/>
      <c r="CB12" s="143"/>
      <c r="CC12" s="143"/>
    </row>
    <row r="13" spans="1:82">
      <c r="A13" s="151"/>
      <c r="B13" s="152"/>
      <c r="C13" s="154"/>
      <c r="D13" s="154"/>
      <c r="E13" s="155"/>
      <c r="H13" s="151"/>
      <c r="I13" s="152"/>
      <c r="J13" s="154"/>
      <c r="K13" s="154"/>
      <c r="L13" s="155"/>
      <c r="N13" s="151"/>
      <c r="O13" s="152"/>
      <c r="P13" s="154"/>
      <c r="Q13" s="154"/>
      <c r="R13" s="158"/>
      <c r="T13" s="165">
        <v>304</v>
      </c>
      <c r="U13" s="152" t="s">
        <v>185</v>
      </c>
      <c r="V13" s="154"/>
      <c r="W13" s="154">
        <f>-400*6</f>
        <v>-2400</v>
      </c>
      <c r="X13" s="164">
        <f t="shared" si="0"/>
        <v>-2400</v>
      </c>
      <c r="AA13" s="165">
        <v>304</v>
      </c>
      <c r="AB13" s="152" t="s">
        <v>186</v>
      </c>
      <c r="AC13" s="154"/>
      <c r="AD13" s="154">
        <v>-3000</v>
      </c>
      <c r="AE13" s="166">
        <f t="shared" si="5"/>
        <v>-3000</v>
      </c>
      <c r="AH13" s="165">
        <v>304</v>
      </c>
      <c r="AI13" s="152" t="s">
        <v>186</v>
      </c>
      <c r="AJ13" s="154"/>
      <c r="AK13" s="154">
        <v>-3000</v>
      </c>
      <c r="AL13" s="167">
        <f t="shared" si="1"/>
        <v>-3000</v>
      </c>
      <c r="AN13" s="141"/>
      <c r="AP13" s="143"/>
      <c r="AQ13" s="143"/>
      <c r="AT13" s="165">
        <v>304</v>
      </c>
      <c r="AU13" s="152" t="s">
        <v>186</v>
      </c>
      <c r="AV13" s="154"/>
      <c r="AW13" s="154">
        <v>-3000</v>
      </c>
      <c r="AX13" s="167">
        <f t="shared" si="2"/>
        <v>-3000</v>
      </c>
      <c r="AZ13" s="141"/>
      <c r="BB13" s="143"/>
      <c r="BC13" s="143"/>
      <c r="BF13" s="165">
        <v>304</v>
      </c>
      <c r="BG13" s="152" t="s">
        <v>124</v>
      </c>
      <c r="BH13" s="154"/>
      <c r="BI13" s="154">
        <f>-6*450*1.11</f>
        <v>-2997.0000000000005</v>
      </c>
      <c r="BJ13" s="167">
        <f t="shared" si="3"/>
        <v>-2997.0000000000005</v>
      </c>
      <c r="BL13" s="141"/>
      <c r="BN13" s="143"/>
      <c r="BO13" s="143"/>
      <c r="BT13" s="165">
        <v>304</v>
      </c>
      <c r="BU13" s="162" t="s">
        <v>47</v>
      </c>
      <c r="BV13" s="154"/>
      <c r="BW13" s="154">
        <f>-6*450</f>
        <v>-2700</v>
      </c>
      <c r="BX13" s="167">
        <f t="shared" si="4"/>
        <v>-2700</v>
      </c>
      <c r="BZ13" s="141"/>
      <c r="CB13" s="143"/>
      <c r="CC13" s="143"/>
    </row>
    <row r="14" spans="1:82">
      <c r="A14" s="165"/>
      <c r="B14" s="163" t="s">
        <v>187</v>
      </c>
      <c r="C14" s="153"/>
      <c r="D14" s="153">
        <f>-(3960+500)</f>
        <v>-4460</v>
      </c>
      <c r="E14" s="168">
        <f>SUM(C14:D14)</f>
        <v>-4460</v>
      </c>
      <c r="G14" s="137">
        <v>-2950</v>
      </c>
      <c r="H14" s="165"/>
      <c r="I14" s="163" t="s">
        <v>188</v>
      </c>
      <c r="J14" s="153"/>
      <c r="K14" s="153">
        <f>-(3960+500)</f>
        <v>-4460</v>
      </c>
      <c r="L14" s="168">
        <f>SUM(J14:K14)</f>
        <v>-4460</v>
      </c>
      <c r="N14" s="165">
        <v>303</v>
      </c>
      <c r="O14" s="163" t="s">
        <v>188</v>
      </c>
      <c r="P14" s="153"/>
      <c r="Q14" s="153">
        <f>-(3960+500)</f>
        <v>-4460</v>
      </c>
      <c r="R14" s="169">
        <f>SUM(P14:Q14)</f>
        <v>-4460</v>
      </c>
      <c r="T14" s="165">
        <v>305</v>
      </c>
      <c r="U14" s="163" t="s">
        <v>188</v>
      </c>
      <c r="V14" s="153"/>
      <c r="W14" s="153">
        <f>-(4680+600)</f>
        <v>-5280</v>
      </c>
      <c r="X14" s="164">
        <f t="shared" si="0"/>
        <v>-5280</v>
      </c>
      <c r="AA14" s="165">
        <v>305</v>
      </c>
      <c r="AB14" s="163" t="s">
        <v>188</v>
      </c>
      <c r="AC14" s="153"/>
      <c r="AD14" s="153">
        <f>-(4680+600)</f>
        <v>-5280</v>
      </c>
      <c r="AE14" s="170">
        <f t="shared" si="5"/>
        <v>-5280</v>
      </c>
      <c r="AH14" s="165">
        <v>305</v>
      </c>
      <c r="AI14" s="163" t="s">
        <v>188</v>
      </c>
      <c r="AJ14" s="153"/>
      <c r="AK14" s="153">
        <f>-(4680+600)</f>
        <v>-5280</v>
      </c>
      <c r="AL14" s="171">
        <f t="shared" si="1"/>
        <v>-5280</v>
      </c>
      <c r="AN14" s="141"/>
      <c r="AP14" s="143"/>
      <c r="AQ14" s="143"/>
      <c r="AT14" s="165">
        <v>305</v>
      </c>
      <c r="AU14" s="163" t="s">
        <v>188</v>
      </c>
      <c r="AV14" s="153"/>
      <c r="AW14" s="153">
        <f>-(4680+600)</f>
        <v>-5280</v>
      </c>
      <c r="AX14" s="171">
        <f t="shared" si="2"/>
        <v>-5280</v>
      </c>
      <c r="AZ14" s="141"/>
      <c r="BB14" s="143"/>
      <c r="BC14" s="143"/>
      <c r="BF14" s="165">
        <v>305</v>
      </c>
      <c r="BG14" s="163" t="s">
        <v>125</v>
      </c>
      <c r="BH14" s="153"/>
      <c r="BI14" s="153">
        <f>-(BO9*70*2+500)*1.11</f>
        <v>-6149.4000000000005</v>
      </c>
      <c r="BJ14" s="171">
        <f t="shared" si="3"/>
        <v>-6149.4000000000005</v>
      </c>
      <c r="BL14" s="141"/>
      <c r="BN14" s="143"/>
      <c r="BO14" s="143"/>
      <c r="BT14" s="165">
        <v>305</v>
      </c>
      <c r="BU14" s="172" t="s">
        <v>48</v>
      </c>
      <c r="BV14" s="153"/>
      <c r="BW14" s="153">
        <f>-(CC9*70*2+500)</f>
        <v>-5540</v>
      </c>
      <c r="BX14" s="171">
        <f t="shared" si="4"/>
        <v>-5540</v>
      </c>
      <c r="BZ14" s="141"/>
      <c r="CB14" s="143"/>
      <c r="CC14" s="143"/>
    </row>
    <row r="15" spans="1:82">
      <c r="A15" s="165"/>
      <c r="B15" s="163" t="s">
        <v>189</v>
      </c>
      <c r="C15" s="173">
        <v>14400</v>
      </c>
      <c r="D15" s="153"/>
      <c r="E15" s="168">
        <f>SUM(C15:D15)</f>
        <v>14400</v>
      </c>
      <c r="G15" s="174">
        <v>12950</v>
      </c>
      <c r="H15" s="165"/>
      <c r="I15" s="175" t="s">
        <v>190</v>
      </c>
      <c r="J15" s="153">
        <f>800*36</f>
        <v>28800</v>
      </c>
      <c r="K15" s="153"/>
      <c r="L15" s="168">
        <f>SUM(J15:K15)</f>
        <v>28800</v>
      </c>
      <c r="N15" s="165">
        <v>304</v>
      </c>
      <c r="O15" s="163" t="s">
        <v>191</v>
      </c>
      <c r="P15" s="153">
        <v>18000</v>
      </c>
      <c r="Q15" s="153"/>
      <c r="R15" s="169">
        <f>SUM(P15:Q15)</f>
        <v>18000</v>
      </c>
      <c r="T15" s="165">
        <v>306</v>
      </c>
      <c r="U15" s="163" t="s">
        <v>192</v>
      </c>
      <c r="V15" s="153">
        <f>500*36</f>
        <v>18000</v>
      </c>
      <c r="W15" s="153"/>
      <c r="X15" s="164">
        <f t="shared" si="0"/>
        <v>18000</v>
      </c>
      <c r="AA15" s="165">
        <v>306</v>
      </c>
      <c r="AB15" s="163" t="s">
        <v>193</v>
      </c>
      <c r="AC15" s="153">
        <v>36000</v>
      </c>
      <c r="AD15" s="153"/>
      <c r="AE15" s="169">
        <f t="shared" si="5"/>
        <v>36000</v>
      </c>
      <c r="AH15" s="165">
        <v>306</v>
      </c>
      <c r="AI15" s="163" t="s">
        <v>194</v>
      </c>
      <c r="AJ15" s="153">
        <f>AQ9*AQ17</f>
        <v>26948</v>
      </c>
      <c r="AK15" s="153"/>
      <c r="AL15" s="176">
        <f t="shared" si="1"/>
        <v>26948</v>
      </c>
      <c r="AN15" s="141"/>
      <c r="AP15" s="143"/>
      <c r="AQ15" s="143"/>
      <c r="AT15" s="165">
        <v>306</v>
      </c>
      <c r="AU15" s="163" t="s">
        <v>195</v>
      </c>
      <c r="AV15" s="153">
        <f>BC9*BC17</f>
        <v>24680</v>
      </c>
      <c r="AW15" s="153"/>
      <c r="AX15" s="176">
        <f t="shared" si="2"/>
        <v>24680</v>
      </c>
      <c r="AZ15" s="141"/>
      <c r="BB15" s="143"/>
      <c r="BC15" s="143"/>
      <c r="BF15" s="165">
        <v>306</v>
      </c>
      <c r="BG15" s="163" t="s">
        <v>196</v>
      </c>
      <c r="BH15" s="153">
        <f>BO9*BP17</f>
        <v>30600</v>
      </c>
      <c r="BI15" s="153"/>
      <c r="BJ15" s="176">
        <f t="shared" si="3"/>
        <v>30600</v>
      </c>
      <c r="BL15" s="141"/>
      <c r="BN15" s="143"/>
      <c r="BO15" s="143"/>
      <c r="BT15" s="165">
        <v>306</v>
      </c>
      <c r="BU15" s="172" t="s">
        <v>197</v>
      </c>
      <c r="BV15" s="153">
        <f>CC9*CD17</f>
        <v>21960</v>
      </c>
      <c r="BW15" s="153"/>
      <c r="BX15" s="176">
        <f t="shared" si="4"/>
        <v>21960</v>
      </c>
      <c r="BZ15" s="141"/>
      <c r="CB15" s="143"/>
      <c r="CC15" s="143"/>
    </row>
    <row r="16" spans="1:82">
      <c r="A16" s="165"/>
      <c r="B16" s="163"/>
      <c r="C16" s="153"/>
      <c r="D16" s="153"/>
      <c r="E16" s="168">
        <f>SUM(C16:D16)</f>
        <v>0</v>
      </c>
      <c r="H16" s="165"/>
      <c r="I16" s="163" t="s">
        <v>180</v>
      </c>
      <c r="J16" s="153"/>
      <c r="K16" s="153">
        <v>-1600</v>
      </c>
      <c r="L16" s="168">
        <f>SUM(J16:K16)</f>
        <v>-1600</v>
      </c>
      <c r="N16" s="165">
        <v>305</v>
      </c>
      <c r="O16" s="163" t="s">
        <v>180</v>
      </c>
      <c r="P16" s="153"/>
      <c r="Q16" s="153">
        <v>-1600</v>
      </c>
      <c r="R16" s="169">
        <f>SUM(P16:Q16)</f>
        <v>-1600</v>
      </c>
      <c r="T16" s="165">
        <v>307</v>
      </c>
      <c r="U16" s="177" t="s">
        <v>198</v>
      </c>
      <c r="V16" s="178">
        <v>0</v>
      </c>
      <c r="W16" s="163"/>
      <c r="X16" s="179">
        <f>SUM(V17:W17)</f>
        <v>0</v>
      </c>
      <c r="AA16" s="165">
        <v>307</v>
      </c>
      <c r="AB16" s="163" t="s">
        <v>180</v>
      </c>
      <c r="AC16" s="153"/>
      <c r="AD16" s="153">
        <v>-1600</v>
      </c>
      <c r="AE16" s="169">
        <f t="shared" si="5"/>
        <v>-1600</v>
      </c>
      <c r="AH16" s="165">
        <v>307</v>
      </c>
      <c r="AI16" s="163" t="s">
        <v>50</v>
      </c>
      <c r="AJ16" s="153"/>
      <c r="AK16" s="153">
        <v>0</v>
      </c>
      <c r="AL16" s="176">
        <f t="shared" si="1"/>
        <v>0</v>
      </c>
      <c r="AN16" s="141"/>
      <c r="AP16" s="143"/>
      <c r="AQ16" s="143"/>
      <c r="AT16" s="165">
        <v>307</v>
      </c>
      <c r="AU16" s="163" t="s">
        <v>50</v>
      </c>
      <c r="AV16" s="153"/>
      <c r="AW16" s="153">
        <v>0</v>
      </c>
      <c r="AX16" s="176">
        <f t="shared" si="2"/>
        <v>0</v>
      </c>
      <c r="AZ16" s="141"/>
      <c r="BB16" s="143"/>
      <c r="BC16" s="143"/>
      <c r="BF16" s="165">
        <v>307</v>
      </c>
      <c r="BG16" s="163" t="s">
        <v>50</v>
      </c>
      <c r="BH16" s="153">
        <v>0</v>
      </c>
      <c r="BI16" s="153"/>
      <c r="BJ16" s="176">
        <f t="shared" si="3"/>
        <v>0</v>
      </c>
      <c r="BL16" s="141"/>
      <c r="BN16" s="143"/>
      <c r="BO16" s="143"/>
      <c r="BT16" s="165">
        <v>307</v>
      </c>
      <c r="BU16" s="163" t="s">
        <v>50</v>
      </c>
      <c r="BV16" s="153">
        <v>0</v>
      </c>
      <c r="BW16" s="153"/>
      <c r="BX16" s="176">
        <f t="shared" si="4"/>
        <v>0</v>
      </c>
      <c r="BZ16" s="141"/>
      <c r="CB16" s="143"/>
      <c r="CC16" s="143"/>
    </row>
    <row r="17" spans="1:82">
      <c r="A17" s="165"/>
      <c r="B17" s="172"/>
      <c r="C17" s="153"/>
      <c r="D17" s="153"/>
      <c r="E17" s="168">
        <f>SUM(C17:D17)</f>
        <v>0</v>
      </c>
      <c r="H17" s="165"/>
      <c r="I17" s="172" t="s">
        <v>51</v>
      </c>
      <c r="J17" s="153"/>
      <c r="K17" s="153">
        <v>-1400</v>
      </c>
      <c r="L17" s="168">
        <f>SUM(J17:K17)</f>
        <v>-1400</v>
      </c>
      <c r="N17" s="165">
        <v>306</v>
      </c>
      <c r="O17" s="172" t="s">
        <v>51</v>
      </c>
      <c r="P17" s="153"/>
      <c r="Q17" s="153">
        <v>-1400</v>
      </c>
      <c r="R17" s="169">
        <f>SUM(P17:Q17)</f>
        <v>-1400</v>
      </c>
      <c r="T17" s="165">
        <v>308</v>
      </c>
      <c r="U17" s="172" t="s">
        <v>51</v>
      </c>
      <c r="V17" s="153"/>
      <c r="W17" s="153">
        <v>0</v>
      </c>
      <c r="X17" s="179">
        <f>SUM(V18:W18)</f>
        <v>0</v>
      </c>
      <c r="AA17" s="165">
        <v>308</v>
      </c>
      <c r="AB17" s="172" t="s">
        <v>51</v>
      </c>
      <c r="AC17" s="153"/>
      <c r="AD17" s="153">
        <v>-1400</v>
      </c>
      <c r="AE17" s="169">
        <f t="shared" si="5"/>
        <v>-1400</v>
      </c>
      <c r="AH17" s="165">
        <v>308</v>
      </c>
      <c r="AI17" s="172" t="s">
        <v>51</v>
      </c>
      <c r="AJ17" s="153"/>
      <c r="AK17" s="153">
        <v>-1400</v>
      </c>
      <c r="AL17" s="176">
        <f t="shared" si="1"/>
        <v>-1400</v>
      </c>
      <c r="AN17" s="141"/>
      <c r="AP17" s="142" t="s">
        <v>52</v>
      </c>
      <c r="AQ17" s="180">
        <f>(ABS(SUM(AK10:AK17))-AN9)/AQ9</f>
        <v>748.55555555555554</v>
      </c>
      <c r="AT17" s="165">
        <v>308</v>
      </c>
      <c r="AU17" s="172" t="s">
        <v>51</v>
      </c>
      <c r="AV17" s="153"/>
      <c r="AW17" s="153">
        <v>-1400</v>
      </c>
      <c r="AX17" s="176">
        <f t="shared" si="2"/>
        <v>-1400</v>
      </c>
      <c r="AZ17" s="141"/>
      <c r="BB17" s="142" t="s">
        <v>52</v>
      </c>
      <c r="BC17" s="180">
        <f>(ABS(SUM(AW10:AW17))-AZ9)/BC9</f>
        <v>685.55555555555554</v>
      </c>
      <c r="BF17" s="165">
        <v>308</v>
      </c>
      <c r="BG17" s="163" t="s">
        <v>127</v>
      </c>
      <c r="BH17" s="153"/>
      <c r="BI17" s="153">
        <f>-(20*BO9*2)*1.11</f>
        <v>-1598.4</v>
      </c>
      <c r="BJ17" s="176">
        <f t="shared" si="3"/>
        <v>-1598.4</v>
      </c>
      <c r="BL17" s="141"/>
      <c r="BN17" s="142" t="s">
        <v>52</v>
      </c>
      <c r="BO17" s="180">
        <f>(ABS(SUM(BI10:BI17))-BL9)/BO9</f>
        <v>850.74444444444453</v>
      </c>
      <c r="BP17" s="181">
        <v>850</v>
      </c>
      <c r="BT17" s="165">
        <v>308</v>
      </c>
      <c r="BU17" s="163" t="s">
        <v>127</v>
      </c>
      <c r="BV17" s="153"/>
      <c r="BW17" s="153">
        <f>-(20*CC9*2)</f>
        <v>-1440</v>
      </c>
      <c r="BX17" s="176">
        <f t="shared" si="4"/>
        <v>-1440</v>
      </c>
      <c r="BZ17" s="141"/>
      <c r="CB17" s="142" t="s">
        <v>52</v>
      </c>
      <c r="CC17" s="180">
        <f>(ABS(SUM(BW10:BW17))-BZ9)/CC9</f>
        <v>607.77777777777783</v>
      </c>
      <c r="CD17" s="181">
        <v>610</v>
      </c>
    </row>
    <row r="18" spans="1:82">
      <c r="E18" s="182">
        <f>SUM(E10:E17)</f>
        <v>-14060</v>
      </c>
      <c r="F18" s="137">
        <v>-14600</v>
      </c>
      <c r="G18" s="137">
        <f>SUM(G10:G17)</f>
        <v>-7968</v>
      </c>
      <c r="L18" s="182">
        <f>SUM(L10:L17)</f>
        <v>-19660</v>
      </c>
      <c r="P18" s="137"/>
      <c r="Q18" s="137"/>
      <c r="R18" s="183">
        <f>SUM(R10:R17)</f>
        <v>-30460</v>
      </c>
      <c r="V18" s="137"/>
      <c r="W18" s="137"/>
      <c r="X18" s="182">
        <f>SUM(X10:X16)</f>
        <v>-14080</v>
      </c>
      <c r="AB18" s="177" t="s">
        <v>199</v>
      </c>
      <c r="AC18" s="137"/>
      <c r="AD18" s="137"/>
      <c r="AE18" s="182">
        <f>SUM(AE10:AE17)</f>
        <v>-15280</v>
      </c>
      <c r="AI18" s="177" t="s">
        <v>199</v>
      </c>
      <c r="AJ18" s="137"/>
      <c r="AK18" s="137"/>
      <c r="AL18" s="182">
        <f>SUM(AL10:AL17)</f>
        <v>-9000</v>
      </c>
      <c r="AN18" s="141"/>
      <c r="AP18" s="142" t="s">
        <v>71</v>
      </c>
      <c r="AQ18" s="143"/>
      <c r="AU18" s="177" t="s">
        <v>199</v>
      </c>
      <c r="AV18" s="137"/>
      <c r="AW18" s="137"/>
      <c r="AX18" s="182">
        <f>SUM(AX10:AX17)</f>
        <v>-3000</v>
      </c>
      <c r="AZ18" s="141"/>
      <c r="BB18" s="142" t="s">
        <v>71</v>
      </c>
      <c r="BC18" s="143"/>
      <c r="BG18" s="177"/>
      <c r="BH18" s="184">
        <f>SUM(BH10:BH17)</f>
        <v>30600</v>
      </c>
      <c r="BI18" s="184">
        <f>SUM(BI10:BI17)</f>
        <v>-41626.800000000003</v>
      </c>
      <c r="BJ18" s="182">
        <f>SUM(BJ10:BJ17)</f>
        <v>-11026.800000000001</v>
      </c>
      <c r="BL18" s="141"/>
      <c r="BN18" s="142" t="s">
        <v>53</v>
      </c>
      <c r="BO18" s="185">
        <f>-(BI14+BI17)/BO9</f>
        <v>215.2166666666667</v>
      </c>
      <c r="BU18" s="177"/>
      <c r="BV18" s="184">
        <f>SUM(BV10:BV17)</f>
        <v>21960</v>
      </c>
      <c r="BW18" s="184">
        <f>SUM(BW10:BW17)</f>
        <v>-25880</v>
      </c>
      <c r="BX18" s="182">
        <f>SUM(BX10:BX17)</f>
        <v>-3920</v>
      </c>
      <c r="BZ18" s="141"/>
      <c r="CB18" s="142" t="s">
        <v>53</v>
      </c>
      <c r="CC18" s="185">
        <f>-(BW14+BW17)/CC9</f>
        <v>193.88888888888889</v>
      </c>
    </row>
    <row r="19" spans="1:82">
      <c r="N19" s="186"/>
      <c r="O19" s="186" t="s">
        <v>200</v>
      </c>
      <c r="P19" s="187"/>
      <c r="Q19" s="187"/>
      <c r="R19" s="188"/>
      <c r="V19" s="137"/>
      <c r="W19" s="137"/>
      <c r="AC19" s="137"/>
      <c r="AD19" s="137"/>
      <c r="AJ19" s="137"/>
      <c r="AK19" s="137"/>
      <c r="AN19" s="141"/>
      <c r="AP19" s="143"/>
      <c r="AQ19" s="143"/>
      <c r="AV19" s="137"/>
      <c r="AW19" s="137"/>
      <c r="AZ19" s="141"/>
      <c r="BB19" s="143"/>
      <c r="BC19" s="143"/>
      <c r="BH19" s="137"/>
      <c r="BI19" s="137"/>
      <c r="BL19" s="141"/>
      <c r="BN19" s="143"/>
      <c r="BO19" s="143"/>
      <c r="BV19" s="137"/>
      <c r="BW19" s="137"/>
      <c r="BZ19" s="141"/>
      <c r="CB19" s="143"/>
      <c r="CC19" s="143"/>
    </row>
    <row r="20" spans="1:82">
      <c r="V20" s="137"/>
      <c r="W20" s="137"/>
      <c r="AC20" s="137"/>
      <c r="AD20" s="137"/>
      <c r="AJ20" s="137"/>
      <c r="AK20" s="137"/>
      <c r="AN20" s="141"/>
      <c r="AP20" s="143"/>
      <c r="AQ20" s="143"/>
      <c r="AV20" s="137"/>
      <c r="AW20" s="137"/>
      <c r="AZ20" s="141"/>
      <c r="BB20" s="143"/>
      <c r="BC20" s="143"/>
      <c r="BH20" s="137"/>
      <c r="BI20" s="137"/>
      <c r="BL20" s="141"/>
      <c r="BN20" s="143"/>
      <c r="BO20" s="143"/>
      <c r="BV20" s="137"/>
      <c r="BW20" s="137"/>
      <c r="BZ20" s="141"/>
      <c r="CB20" s="143"/>
      <c r="CC20" s="143"/>
    </row>
    <row r="21" spans="1:82" ht="20.25">
      <c r="B21" s="145" t="s">
        <v>201</v>
      </c>
      <c r="I21" s="145" t="s">
        <v>202</v>
      </c>
      <c r="O21" s="145" t="s">
        <v>203</v>
      </c>
      <c r="P21" s="137"/>
      <c r="Q21" s="137"/>
      <c r="U21" s="145" t="s">
        <v>204</v>
      </c>
      <c r="V21" s="137"/>
      <c r="W21" s="137"/>
      <c r="Z21" s="139"/>
      <c r="AB21" s="145" t="s">
        <v>205</v>
      </c>
      <c r="AC21" s="137"/>
      <c r="AD21" s="137"/>
      <c r="AI21" s="145" t="s">
        <v>206</v>
      </c>
      <c r="AJ21" s="137"/>
      <c r="AK21" s="137"/>
      <c r="AN21" s="141"/>
      <c r="AP21" s="143"/>
      <c r="AQ21" s="143"/>
      <c r="AU21" s="145" t="s">
        <v>207</v>
      </c>
      <c r="AV21" s="137"/>
      <c r="AW21" s="137"/>
      <c r="AZ21" s="141"/>
      <c r="BB21" s="143"/>
      <c r="BC21" s="143"/>
      <c r="BG21" s="145" t="s">
        <v>208</v>
      </c>
      <c r="BH21" s="137"/>
      <c r="BI21" s="137"/>
      <c r="BL21" s="141"/>
      <c r="BN21" s="143"/>
      <c r="BO21" s="143"/>
      <c r="BU21" s="145" t="s">
        <v>209</v>
      </c>
      <c r="BV21" s="137"/>
      <c r="BW21" s="137"/>
      <c r="BZ21" s="141"/>
      <c r="CB21" s="143"/>
      <c r="CC21" s="143"/>
    </row>
    <row r="22" spans="1:82">
      <c r="P22" s="137"/>
      <c r="Q22" s="137"/>
      <c r="V22" s="137"/>
      <c r="W22" s="137"/>
      <c r="AC22" s="137"/>
      <c r="AD22" s="137"/>
      <c r="AJ22" s="137"/>
      <c r="AK22" s="137"/>
      <c r="AN22" s="141"/>
      <c r="AP22" s="143"/>
      <c r="AQ22" s="143"/>
      <c r="AV22" s="137"/>
      <c r="AW22" s="137"/>
      <c r="AZ22" s="141"/>
      <c r="BB22" s="143"/>
      <c r="BC22" s="143"/>
      <c r="BH22" s="137"/>
      <c r="BI22" s="137"/>
      <c r="BL22" s="141"/>
      <c r="BN22" s="143"/>
      <c r="BO22" s="143"/>
      <c r="BV22" s="137"/>
      <c r="BW22" s="137"/>
      <c r="BZ22" s="141"/>
      <c r="CB22" s="143"/>
      <c r="CC22" s="143"/>
    </row>
    <row r="23" spans="1:82" ht="18">
      <c r="A23" s="146" t="s">
        <v>39</v>
      </c>
      <c r="B23" s="147" t="s">
        <v>40</v>
      </c>
      <c r="C23" s="148" t="s">
        <v>41</v>
      </c>
      <c r="D23" s="148" t="s">
        <v>42</v>
      </c>
      <c r="E23" s="146" t="s">
        <v>4</v>
      </c>
      <c r="G23" s="137" t="s">
        <v>210</v>
      </c>
      <c r="H23" s="146" t="s">
        <v>39</v>
      </c>
      <c r="I23" s="147" t="s">
        <v>40</v>
      </c>
      <c r="J23" s="148" t="s">
        <v>41</v>
      </c>
      <c r="K23" s="148" t="s">
        <v>42</v>
      </c>
      <c r="L23" s="146" t="s">
        <v>4</v>
      </c>
      <c r="N23" s="146" t="s">
        <v>39</v>
      </c>
      <c r="O23" s="147" t="s">
        <v>40</v>
      </c>
      <c r="P23" s="148" t="s">
        <v>41</v>
      </c>
      <c r="Q23" s="148" t="s">
        <v>42</v>
      </c>
      <c r="R23" s="149" t="s">
        <v>4</v>
      </c>
      <c r="T23" s="146" t="s">
        <v>39</v>
      </c>
      <c r="U23" s="147" t="s">
        <v>40</v>
      </c>
      <c r="V23" s="148" t="s">
        <v>41</v>
      </c>
      <c r="W23" s="148" t="s">
        <v>42</v>
      </c>
      <c r="X23" s="146" t="s">
        <v>4</v>
      </c>
      <c r="AA23" s="146" t="s">
        <v>39</v>
      </c>
      <c r="AB23" s="147" t="s">
        <v>40</v>
      </c>
      <c r="AC23" s="148" t="s">
        <v>41</v>
      </c>
      <c r="AD23" s="148" t="s">
        <v>42</v>
      </c>
      <c r="AE23" s="146" t="s">
        <v>4</v>
      </c>
      <c r="AH23" s="146" t="s">
        <v>39</v>
      </c>
      <c r="AI23" s="147" t="s">
        <v>40</v>
      </c>
      <c r="AJ23" s="148" t="s">
        <v>41</v>
      </c>
      <c r="AK23" s="148" t="s">
        <v>42</v>
      </c>
      <c r="AL23" s="146" t="s">
        <v>4</v>
      </c>
      <c r="AN23" s="141">
        <v>9000</v>
      </c>
      <c r="AP23" s="142" t="s">
        <v>43</v>
      </c>
      <c r="AQ23" s="150">
        <v>60</v>
      </c>
      <c r="AT23" s="146" t="s">
        <v>39</v>
      </c>
      <c r="AU23" s="147" t="s">
        <v>40</v>
      </c>
      <c r="AV23" s="148" t="s">
        <v>41</v>
      </c>
      <c r="AW23" s="148" t="s">
        <v>42</v>
      </c>
      <c r="AX23" s="146" t="s">
        <v>4</v>
      </c>
      <c r="AZ23" s="141">
        <v>20000</v>
      </c>
      <c r="BB23" s="142" t="s">
        <v>43</v>
      </c>
      <c r="BC23" s="150">
        <v>60</v>
      </c>
      <c r="BF23" s="146" t="s">
        <v>39</v>
      </c>
      <c r="BG23" s="147" t="s">
        <v>40</v>
      </c>
      <c r="BH23" s="148" t="s">
        <v>41</v>
      </c>
      <c r="BI23" s="148" t="s">
        <v>42</v>
      </c>
      <c r="BJ23" s="146" t="s">
        <v>4</v>
      </c>
      <c r="BL23" s="141">
        <v>9000</v>
      </c>
      <c r="BM23" s="136">
        <v>18500</v>
      </c>
      <c r="BN23" s="142" t="s">
        <v>43</v>
      </c>
      <c r="BO23" s="150">
        <v>60</v>
      </c>
      <c r="BT23" s="146" t="s">
        <v>39</v>
      </c>
      <c r="BU23" s="147" t="s">
        <v>40</v>
      </c>
      <c r="BV23" s="148" t="s">
        <v>41</v>
      </c>
      <c r="BW23" s="148" t="s">
        <v>42</v>
      </c>
      <c r="BX23" s="146" t="s">
        <v>4</v>
      </c>
      <c r="BZ23" s="141">
        <v>7000</v>
      </c>
      <c r="CA23" s="136">
        <v>18500</v>
      </c>
      <c r="CB23" s="142" t="s">
        <v>43</v>
      </c>
      <c r="CC23" s="150">
        <v>60</v>
      </c>
    </row>
    <row r="24" spans="1:82">
      <c r="A24" s="151"/>
      <c r="B24" s="152" t="s">
        <v>211</v>
      </c>
      <c r="C24" s="154"/>
      <c r="D24" s="154">
        <v>-16000</v>
      </c>
      <c r="E24" s="155">
        <f>SUM(C24:D24)</f>
        <v>-16000</v>
      </c>
      <c r="G24" s="137">
        <v>-16430</v>
      </c>
      <c r="H24" s="151"/>
      <c r="I24" s="152" t="s">
        <v>212</v>
      </c>
      <c r="J24" s="154"/>
      <c r="K24" s="154">
        <v>0</v>
      </c>
      <c r="L24" s="155">
        <f>SUM(J24:K24)</f>
        <v>0</v>
      </c>
      <c r="N24" s="151">
        <v>401</v>
      </c>
      <c r="O24" s="152" t="s">
        <v>212</v>
      </c>
      <c r="P24" s="154"/>
      <c r="Q24" s="154">
        <v>0</v>
      </c>
      <c r="R24" s="158">
        <f>SUM(P24:Q24)</f>
        <v>0</v>
      </c>
      <c r="T24" s="151">
        <v>401</v>
      </c>
      <c r="U24" s="152" t="s">
        <v>55</v>
      </c>
      <c r="V24" s="154"/>
      <c r="W24" s="154">
        <v>-12000</v>
      </c>
      <c r="X24" s="189">
        <f t="shared" ref="X24:X31" si="6">SUM(V24:W24)</f>
        <v>-12000</v>
      </c>
      <c r="AA24" s="151">
        <v>401</v>
      </c>
      <c r="AB24" s="152" t="s">
        <v>55</v>
      </c>
      <c r="AC24" s="154"/>
      <c r="AD24" s="154">
        <v>-7500</v>
      </c>
      <c r="AE24" s="189">
        <f t="shared" ref="AE24:AE30" si="7">SUM(AC24:AD24)</f>
        <v>-7500</v>
      </c>
      <c r="AH24" s="151">
        <v>401</v>
      </c>
      <c r="AI24" s="152" t="s">
        <v>55</v>
      </c>
      <c r="AJ24" s="154"/>
      <c r="AK24" s="190">
        <v>-11554</v>
      </c>
      <c r="AL24" s="189">
        <f t="shared" ref="AL24:AL30" si="8">SUM(AJ24:AK24)</f>
        <v>-11554</v>
      </c>
      <c r="AN24" s="141"/>
      <c r="AP24" s="143"/>
      <c r="AQ24" s="143"/>
      <c r="AT24" s="151">
        <v>401</v>
      </c>
      <c r="AU24" s="152" t="s">
        <v>213</v>
      </c>
      <c r="AV24" s="154"/>
      <c r="AW24" s="190">
        <v>-30000</v>
      </c>
      <c r="AX24" s="189">
        <f t="shared" ref="AX24:AX30" si="9">SUM(AV24:AW24)</f>
        <v>-30000</v>
      </c>
      <c r="AZ24" s="141"/>
      <c r="BB24" s="143"/>
      <c r="BC24" s="143"/>
      <c r="BF24" s="151">
        <v>401</v>
      </c>
      <c r="BG24" s="152" t="s">
        <v>55</v>
      </c>
      <c r="BH24" s="154"/>
      <c r="BI24" s="190">
        <v>-16000</v>
      </c>
      <c r="BJ24" s="189">
        <f t="shared" ref="BJ24:BJ30" si="10">SUM(BH24:BI24)</f>
        <v>-16000</v>
      </c>
      <c r="BL24" s="141"/>
      <c r="BN24" s="143"/>
      <c r="BO24" s="143"/>
      <c r="BT24" s="151">
        <v>401</v>
      </c>
      <c r="BU24" s="152" t="s">
        <v>55</v>
      </c>
      <c r="BV24" s="154"/>
      <c r="BW24" s="190">
        <v>-16000</v>
      </c>
      <c r="BX24" s="189">
        <f t="shared" ref="BX24:BX30" si="11">SUM(BV24:BW24)</f>
        <v>-16000</v>
      </c>
      <c r="BZ24" s="141"/>
      <c r="CB24" s="143"/>
      <c r="CC24" s="143"/>
    </row>
    <row r="25" spans="1:82">
      <c r="A25" s="151"/>
      <c r="B25" s="152" t="s">
        <v>56</v>
      </c>
      <c r="C25" s="154"/>
      <c r="D25" s="154">
        <v>-1200</v>
      </c>
      <c r="E25" s="155"/>
      <c r="G25" s="137">
        <v>-790</v>
      </c>
      <c r="H25" s="151"/>
      <c r="I25" s="152" t="s">
        <v>56</v>
      </c>
      <c r="J25" s="154"/>
      <c r="K25" s="154">
        <v>0</v>
      </c>
      <c r="L25" s="155"/>
      <c r="N25" s="151">
        <v>402</v>
      </c>
      <c r="O25" s="152" t="s">
        <v>56</v>
      </c>
      <c r="P25" s="154"/>
      <c r="Q25" s="154">
        <v>0</v>
      </c>
      <c r="R25" s="158"/>
      <c r="T25" s="151">
        <v>402</v>
      </c>
      <c r="U25" s="152" t="s">
        <v>214</v>
      </c>
      <c r="V25" s="154"/>
      <c r="W25" s="154">
        <v>-800</v>
      </c>
      <c r="X25" s="159">
        <f t="shared" si="6"/>
        <v>-800</v>
      </c>
      <c r="AA25" s="151">
        <v>402</v>
      </c>
      <c r="AB25" s="152" t="s">
        <v>214</v>
      </c>
      <c r="AC25" s="154"/>
      <c r="AD25" s="154">
        <v>0</v>
      </c>
      <c r="AE25" s="159">
        <f t="shared" si="7"/>
        <v>0</v>
      </c>
      <c r="AH25" s="151">
        <v>402</v>
      </c>
      <c r="AI25" s="152" t="s">
        <v>56</v>
      </c>
      <c r="AJ25" s="154"/>
      <c r="AK25" s="154">
        <v>-1200</v>
      </c>
      <c r="AL25" s="159">
        <f t="shared" si="8"/>
        <v>-1200</v>
      </c>
      <c r="AN25" s="141"/>
      <c r="AP25" s="143"/>
      <c r="AQ25" s="143"/>
      <c r="AT25" s="151">
        <v>402</v>
      </c>
      <c r="AU25" s="152" t="s">
        <v>215</v>
      </c>
      <c r="AV25" s="154"/>
      <c r="AW25" s="154">
        <v>-1800</v>
      </c>
      <c r="AX25" s="159">
        <f t="shared" si="9"/>
        <v>-1800</v>
      </c>
      <c r="AZ25" s="141"/>
      <c r="BB25" s="143"/>
      <c r="BC25" s="143"/>
      <c r="BF25" s="151">
        <v>402</v>
      </c>
      <c r="BG25" s="152" t="s">
        <v>56</v>
      </c>
      <c r="BH25" s="154"/>
      <c r="BI25" s="154">
        <v>-1200</v>
      </c>
      <c r="BJ25" s="159">
        <f t="shared" si="10"/>
        <v>-1200</v>
      </c>
      <c r="BL25" s="141"/>
      <c r="BN25" s="143"/>
      <c r="BO25" s="143"/>
      <c r="BT25" s="151">
        <v>402</v>
      </c>
      <c r="BU25" s="152" t="s">
        <v>56</v>
      </c>
      <c r="BV25" s="154"/>
      <c r="BW25" s="154">
        <v>-2000</v>
      </c>
      <c r="BX25" s="159">
        <f t="shared" si="11"/>
        <v>-2000</v>
      </c>
      <c r="BZ25" s="141"/>
      <c r="CB25" s="143"/>
      <c r="CC25" s="143"/>
    </row>
    <row r="26" spans="1:82">
      <c r="A26" s="165"/>
      <c r="B26" s="163" t="s">
        <v>216</v>
      </c>
      <c r="C26" s="153"/>
      <c r="D26" s="153">
        <v>-22500</v>
      </c>
      <c r="E26" s="168">
        <f>SUM(C26:D26)</f>
        <v>-22500</v>
      </c>
      <c r="G26" s="137">
        <v>-26460</v>
      </c>
      <c r="H26" s="165"/>
      <c r="I26" s="163" t="s">
        <v>217</v>
      </c>
      <c r="J26" s="153"/>
      <c r="K26" s="153">
        <v>-21000</v>
      </c>
      <c r="L26" s="168">
        <f>SUM(J26:K26)</f>
        <v>-21000</v>
      </c>
      <c r="M26" s="136">
        <f>54*350</f>
        <v>18900</v>
      </c>
      <c r="N26" s="165">
        <v>403</v>
      </c>
      <c r="O26" s="163" t="s">
        <v>217</v>
      </c>
      <c r="P26" s="153"/>
      <c r="Q26" s="153">
        <v>-21000</v>
      </c>
      <c r="R26" s="169">
        <f>SUM(P26:Q26)</f>
        <v>-21000</v>
      </c>
      <c r="T26" s="165">
        <v>403</v>
      </c>
      <c r="U26" s="163" t="s">
        <v>218</v>
      </c>
      <c r="V26" s="153"/>
      <c r="W26" s="191">
        <f>-365*60</f>
        <v>-21900</v>
      </c>
      <c r="X26" s="192">
        <f t="shared" si="6"/>
        <v>-21900</v>
      </c>
      <c r="AA26" s="165">
        <v>403</v>
      </c>
      <c r="AB26" s="163" t="s">
        <v>218</v>
      </c>
      <c r="AC26" s="153"/>
      <c r="AD26" s="191">
        <f>-365*60</f>
        <v>-21900</v>
      </c>
      <c r="AE26" s="192">
        <f t="shared" si="7"/>
        <v>-21900</v>
      </c>
      <c r="AH26" s="165">
        <v>403</v>
      </c>
      <c r="AI26" s="163" t="s">
        <v>218</v>
      </c>
      <c r="AJ26" s="153"/>
      <c r="AK26" s="191">
        <f>-365*60</f>
        <v>-21900</v>
      </c>
      <c r="AL26" s="192">
        <f t="shared" si="8"/>
        <v>-21900</v>
      </c>
      <c r="AN26" s="141"/>
      <c r="AP26" s="143"/>
      <c r="AQ26" s="143"/>
      <c r="AT26" s="165">
        <v>403</v>
      </c>
      <c r="AU26" s="163" t="s">
        <v>219</v>
      </c>
      <c r="AV26" s="153"/>
      <c r="AW26" s="191">
        <f>-400*60</f>
        <v>-24000</v>
      </c>
      <c r="AX26" s="192">
        <f t="shared" si="9"/>
        <v>-24000</v>
      </c>
      <c r="AZ26" s="141"/>
      <c r="BB26" s="143"/>
      <c r="BC26" s="143"/>
      <c r="BF26" s="165">
        <v>403</v>
      </c>
      <c r="BG26" s="163" t="s">
        <v>220</v>
      </c>
      <c r="BH26" s="153"/>
      <c r="BI26" s="191">
        <f>-700*60</f>
        <v>-42000</v>
      </c>
      <c r="BJ26" s="192">
        <f t="shared" si="10"/>
        <v>-42000</v>
      </c>
      <c r="BL26" s="141"/>
      <c r="BN26" s="143"/>
      <c r="BO26" s="143"/>
      <c r="BT26" s="165">
        <v>403</v>
      </c>
      <c r="BU26" s="172" t="s">
        <v>129</v>
      </c>
      <c r="BV26" s="153"/>
      <c r="BW26" s="191">
        <f>-700*60</f>
        <v>-42000</v>
      </c>
      <c r="BX26" s="192">
        <f t="shared" si="11"/>
        <v>-42000</v>
      </c>
      <c r="BZ26" s="141"/>
      <c r="CB26" s="143"/>
      <c r="CC26" s="143"/>
    </row>
    <row r="27" spans="1:82">
      <c r="A27" s="165"/>
      <c r="B27" s="163"/>
      <c r="C27" s="153"/>
      <c r="D27" s="153"/>
      <c r="E27" s="168"/>
      <c r="H27" s="165"/>
      <c r="I27" s="163"/>
      <c r="J27" s="153"/>
      <c r="K27" s="153"/>
      <c r="L27" s="168"/>
      <c r="N27" s="165"/>
      <c r="O27" s="163"/>
      <c r="P27" s="153"/>
      <c r="Q27" s="153"/>
      <c r="R27" s="169"/>
      <c r="T27" s="165">
        <v>404</v>
      </c>
      <c r="U27" s="163" t="s">
        <v>221</v>
      </c>
      <c r="V27" s="153"/>
      <c r="W27" s="153">
        <f>-365*6</f>
        <v>-2190</v>
      </c>
      <c r="X27" s="164">
        <f t="shared" si="6"/>
        <v>-2190</v>
      </c>
      <c r="AA27" s="165">
        <v>404</v>
      </c>
      <c r="AB27" s="163" t="s">
        <v>221</v>
      </c>
      <c r="AC27" s="153"/>
      <c r="AD27" s="153">
        <f>-365*6</f>
        <v>-2190</v>
      </c>
      <c r="AE27" s="164">
        <f t="shared" si="7"/>
        <v>-2190</v>
      </c>
      <c r="AH27" s="165">
        <v>404</v>
      </c>
      <c r="AI27" s="163" t="s">
        <v>221</v>
      </c>
      <c r="AJ27" s="153"/>
      <c r="AK27" s="153">
        <f>-365*6</f>
        <v>-2190</v>
      </c>
      <c r="AL27" s="164">
        <f t="shared" si="8"/>
        <v>-2190</v>
      </c>
      <c r="AN27" s="141"/>
      <c r="AP27" s="143"/>
      <c r="AQ27" s="143"/>
      <c r="AT27" s="165">
        <v>404</v>
      </c>
      <c r="AU27" s="163" t="s">
        <v>222</v>
      </c>
      <c r="AV27" s="153"/>
      <c r="AW27" s="153">
        <f>-400*6</f>
        <v>-2400</v>
      </c>
      <c r="AX27" s="164">
        <f t="shared" si="9"/>
        <v>-2400</v>
      </c>
      <c r="AZ27" s="141"/>
      <c r="BB27" s="143"/>
      <c r="BC27" s="143"/>
      <c r="BF27" s="165">
        <v>404</v>
      </c>
      <c r="BG27" s="163" t="s">
        <v>58</v>
      </c>
      <c r="BH27" s="153"/>
      <c r="BI27" s="153">
        <f>-700*6</f>
        <v>-4200</v>
      </c>
      <c r="BJ27" s="164">
        <f t="shared" si="10"/>
        <v>-4200</v>
      </c>
      <c r="BL27" s="141"/>
      <c r="BN27" s="143"/>
      <c r="BO27" s="143"/>
      <c r="BT27" s="165">
        <v>404</v>
      </c>
      <c r="BU27" s="163" t="s">
        <v>58</v>
      </c>
      <c r="BV27" s="153"/>
      <c r="BW27" s="153">
        <f>-700*6</f>
        <v>-4200</v>
      </c>
      <c r="BX27" s="164">
        <f t="shared" si="11"/>
        <v>-4200</v>
      </c>
      <c r="BZ27" s="141"/>
      <c r="CB27" s="143"/>
      <c r="CC27" s="143"/>
    </row>
    <row r="28" spans="1:82">
      <c r="A28" s="165"/>
      <c r="B28" s="163" t="s">
        <v>223</v>
      </c>
      <c r="C28" s="153"/>
      <c r="D28" s="153">
        <v>-4950</v>
      </c>
      <c r="E28" s="168">
        <f>SUM(C28:D28)</f>
        <v>-4950</v>
      </c>
      <c r="G28" s="137">
        <v>-6695</v>
      </c>
      <c r="H28" s="165"/>
      <c r="I28" s="163" t="s">
        <v>224</v>
      </c>
      <c r="J28" s="153"/>
      <c r="K28" s="153">
        <v>-6480</v>
      </c>
      <c r="L28" s="168">
        <f>SUM(J28:K28)</f>
        <v>-6480</v>
      </c>
      <c r="N28" s="165">
        <v>404</v>
      </c>
      <c r="O28" s="163" t="s">
        <v>224</v>
      </c>
      <c r="P28" s="153"/>
      <c r="Q28" s="153">
        <v>-6480</v>
      </c>
      <c r="R28" s="169">
        <f>SUM(P28:Q28)</f>
        <v>-6480</v>
      </c>
      <c r="T28" s="165">
        <v>405</v>
      </c>
      <c r="U28" s="163" t="s">
        <v>225</v>
      </c>
      <c r="V28" s="153"/>
      <c r="W28" s="153">
        <v>-7800</v>
      </c>
      <c r="X28" s="192">
        <f t="shared" si="6"/>
        <v>-7800</v>
      </c>
      <c r="AA28" s="165">
        <v>405</v>
      </c>
      <c r="AB28" s="163" t="s">
        <v>225</v>
      </c>
      <c r="AC28" s="153"/>
      <c r="AD28" s="153">
        <v>-7800</v>
      </c>
      <c r="AE28" s="192">
        <f t="shared" si="7"/>
        <v>-7800</v>
      </c>
      <c r="AH28" s="165">
        <v>405</v>
      </c>
      <c r="AI28" s="163" t="s">
        <v>225</v>
      </c>
      <c r="AJ28" s="153"/>
      <c r="AK28" s="153">
        <v>-7800</v>
      </c>
      <c r="AL28" s="192">
        <f t="shared" si="8"/>
        <v>-7800</v>
      </c>
      <c r="AN28" s="141"/>
      <c r="AP28" s="143"/>
      <c r="AQ28" s="143"/>
      <c r="AT28" s="165">
        <v>405</v>
      </c>
      <c r="AU28" s="163" t="s">
        <v>225</v>
      </c>
      <c r="AV28" s="153"/>
      <c r="AW28" s="153">
        <v>-7800</v>
      </c>
      <c r="AX28" s="192">
        <f t="shared" si="9"/>
        <v>-7800</v>
      </c>
      <c r="AZ28" s="141"/>
      <c r="BB28" s="143"/>
      <c r="BC28" s="143"/>
      <c r="BF28" s="165">
        <v>405</v>
      </c>
      <c r="BG28" s="163" t="s">
        <v>59</v>
      </c>
      <c r="BH28" s="153"/>
      <c r="BI28" s="153">
        <f>-BO23*65*3</f>
        <v>-11700</v>
      </c>
      <c r="BJ28" s="192">
        <f t="shared" si="10"/>
        <v>-11700</v>
      </c>
      <c r="BL28" s="141"/>
      <c r="BN28" s="143"/>
      <c r="BO28" s="143"/>
      <c r="BT28" s="165">
        <v>405</v>
      </c>
      <c r="BU28" s="163" t="s">
        <v>59</v>
      </c>
      <c r="BV28" s="153"/>
      <c r="BW28" s="153">
        <f>-CC23*65*3</f>
        <v>-11700</v>
      </c>
      <c r="BX28" s="192">
        <f t="shared" si="11"/>
        <v>-11700</v>
      </c>
      <c r="BZ28" s="141"/>
      <c r="CB28" s="143"/>
      <c r="CC28" s="143"/>
    </row>
    <row r="29" spans="1:82">
      <c r="A29" s="165"/>
      <c r="B29" s="163" t="s">
        <v>226</v>
      </c>
      <c r="C29" s="153">
        <v>22500</v>
      </c>
      <c r="D29" s="153"/>
      <c r="E29" s="168">
        <f>SUM(C29:D29)</f>
        <v>22500</v>
      </c>
      <c r="G29" s="137">
        <v>33000</v>
      </c>
      <c r="H29" s="165"/>
      <c r="I29" s="175" t="s">
        <v>227</v>
      </c>
      <c r="J29" s="153">
        <f>400*54</f>
        <v>21600</v>
      </c>
      <c r="K29" s="153"/>
      <c r="L29" s="168">
        <f>SUM(J29:K29)</f>
        <v>21600</v>
      </c>
      <c r="N29" s="165">
        <v>405</v>
      </c>
      <c r="O29" s="163" t="s">
        <v>228</v>
      </c>
      <c r="P29" s="153">
        <v>18900</v>
      </c>
      <c r="Q29" s="153"/>
      <c r="R29" s="169">
        <f>SUM(P29:Q29)</f>
        <v>18900</v>
      </c>
      <c r="T29" s="165">
        <v>406</v>
      </c>
      <c r="U29" s="163" t="s">
        <v>229</v>
      </c>
      <c r="V29" s="153">
        <f>500*60</f>
        <v>30000</v>
      </c>
      <c r="W29" s="153"/>
      <c r="X29" s="192">
        <f t="shared" si="6"/>
        <v>30000</v>
      </c>
      <c r="AA29" s="165">
        <v>406</v>
      </c>
      <c r="AB29" s="163" t="s">
        <v>229</v>
      </c>
      <c r="AC29" s="153">
        <f>500*60</f>
        <v>30000</v>
      </c>
      <c r="AD29" s="153"/>
      <c r="AE29" s="192">
        <f t="shared" si="7"/>
        <v>30000</v>
      </c>
      <c r="AH29" s="165">
        <v>406</v>
      </c>
      <c r="AI29" s="163" t="s">
        <v>230</v>
      </c>
      <c r="AJ29" s="153">
        <f>AQ23*AQ31</f>
        <v>35644</v>
      </c>
      <c r="AK29" s="153"/>
      <c r="AL29" s="192">
        <f t="shared" si="8"/>
        <v>35644</v>
      </c>
      <c r="AN29" s="141"/>
      <c r="AP29" s="143"/>
      <c r="AQ29" s="143"/>
      <c r="AT29" s="165">
        <v>406</v>
      </c>
      <c r="AU29" s="163" t="s">
        <v>231</v>
      </c>
      <c r="AV29" s="153">
        <f>BC23*BC31</f>
        <v>46000</v>
      </c>
      <c r="AW29" s="153"/>
      <c r="AX29" s="192">
        <f t="shared" si="9"/>
        <v>46000</v>
      </c>
      <c r="AZ29" s="141"/>
      <c r="BB29" s="143"/>
      <c r="BC29" s="143"/>
      <c r="BF29" s="165">
        <v>406</v>
      </c>
      <c r="BG29" s="163" t="s">
        <v>130</v>
      </c>
      <c r="BH29" s="153">
        <f>BO23*BP31</f>
        <v>66000</v>
      </c>
      <c r="BI29" s="153"/>
      <c r="BJ29" s="192">
        <f t="shared" si="10"/>
        <v>66000</v>
      </c>
      <c r="BL29" s="141"/>
      <c r="BN29" s="143"/>
      <c r="BO29" s="143"/>
      <c r="BT29" s="165">
        <v>406</v>
      </c>
      <c r="BU29" s="172" t="s">
        <v>232</v>
      </c>
      <c r="BV29" s="153">
        <f>CC23*CD31</f>
        <v>69000</v>
      </c>
      <c r="BW29" s="153"/>
      <c r="BX29" s="192">
        <f t="shared" si="11"/>
        <v>69000</v>
      </c>
      <c r="BZ29" s="141"/>
      <c r="CB29" s="143"/>
      <c r="CC29" s="143"/>
    </row>
    <row r="30" spans="1:82">
      <c r="A30" s="165"/>
      <c r="B30" s="175" t="s">
        <v>233</v>
      </c>
      <c r="C30" s="153"/>
      <c r="D30" s="153"/>
      <c r="E30" s="168">
        <f>SUM(C30:D30)</f>
        <v>0</v>
      </c>
      <c r="H30" s="165"/>
      <c r="I30" s="163"/>
      <c r="J30" s="153"/>
      <c r="K30" s="153"/>
      <c r="L30" s="168">
        <f>SUM(J30:K30)</f>
        <v>0</v>
      </c>
      <c r="N30" s="165"/>
      <c r="O30" s="163"/>
      <c r="P30" s="153"/>
      <c r="Q30" s="153"/>
      <c r="R30" s="169">
        <f>SUM(P30:Q30)</f>
        <v>0</v>
      </c>
      <c r="T30" s="165">
        <v>407</v>
      </c>
      <c r="U30" s="163" t="s">
        <v>50</v>
      </c>
      <c r="V30" s="153">
        <v>0</v>
      </c>
      <c r="W30" s="153"/>
      <c r="X30" s="192">
        <f t="shared" si="6"/>
        <v>0</v>
      </c>
      <c r="AA30" s="165">
        <v>407</v>
      </c>
      <c r="AB30" s="163" t="s">
        <v>50</v>
      </c>
      <c r="AC30" s="153">
        <v>0</v>
      </c>
      <c r="AD30" s="153"/>
      <c r="AE30" s="192">
        <f t="shared" si="7"/>
        <v>0</v>
      </c>
      <c r="AH30" s="165">
        <v>407</v>
      </c>
      <c r="AI30" s="163" t="s">
        <v>50</v>
      </c>
      <c r="AJ30" s="153">
        <v>0</v>
      </c>
      <c r="AK30" s="153"/>
      <c r="AL30" s="192">
        <f t="shared" si="8"/>
        <v>0</v>
      </c>
      <c r="AN30" s="141"/>
      <c r="AP30" s="143"/>
      <c r="AQ30" s="143"/>
      <c r="AT30" s="165">
        <v>407</v>
      </c>
      <c r="AU30" s="163" t="s">
        <v>50</v>
      </c>
      <c r="AV30" s="153">
        <v>0</v>
      </c>
      <c r="AW30" s="153"/>
      <c r="AX30" s="192">
        <f t="shared" si="9"/>
        <v>0</v>
      </c>
      <c r="AZ30" s="141"/>
      <c r="BB30" s="143"/>
      <c r="BC30" s="143"/>
      <c r="BF30" s="165">
        <v>407</v>
      </c>
      <c r="BG30" s="163" t="s">
        <v>50</v>
      </c>
      <c r="BH30" s="153">
        <v>0</v>
      </c>
      <c r="BI30" s="153"/>
      <c r="BJ30" s="192">
        <f t="shared" si="10"/>
        <v>0</v>
      </c>
      <c r="BL30" s="141"/>
      <c r="BN30" s="143"/>
      <c r="BO30" s="143"/>
      <c r="BT30" s="165">
        <v>407</v>
      </c>
      <c r="BU30" s="163" t="s">
        <v>50</v>
      </c>
      <c r="BV30" s="153">
        <v>0</v>
      </c>
      <c r="BW30" s="153"/>
      <c r="BX30" s="192">
        <f t="shared" si="11"/>
        <v>0</v>
      </c>
      <c r="BZ30" s="141"/>
      <c r="CB30" s="143"/>
      <c r="CC30" s="143"/>
    </row>
    <row r="31" spans="1:82">
      <c r="A31" s="165"/>
      <c r="B31" s="172" t="s">
        <v>234</v>
      </c>
      <c r="C31" s="153"/>
      <c r="D31" s="153"/>
      <c r="E31" s="168">
        <f>SUM(C31:D31)</f>
        <v>0</v>
      </c>
      <c r="H31" s="165"/>
      <c r="I31" s="172"/>
      <c r="J31" s="153"/>
      <c r="K31" s="153"/>
      <c r="L31" s="168">
        <f>SUM(J31:K31)</f>
        <v>0</v>
      </c>
      <c r="N31" s="165"/>
      <c r="O31" s="172"/>
      <c r="P31" s="153"/>
      <c r="Q31" s="153"/>
      <c r="R31" s="169">
        <f>SUM(P31:Q31)</f>
        <v>0</v>
      </c>
      <c r="T31" s="165"/>
      <c r="U31" s="172"/>
      <c r="V31" s="153"/>
      <c r="W31" s="153"/>
      <c r="X31" s="192">
        <f t="shared" si="6"/>
        <v>0</v>
      </c>
      <c r="AA31" s="165"/>
      <c r="AB31" s="172"/>
      <c r="AC31" s="153"/>
      <c r="AD31" s="153"/>
      <c r="AE31" s="192"/>
      <c r="AH31" s="165"/>
      <c r="AI31" s="172"/>
      <c r="AJ31" s="153"/>
      <c r="AK31" s="153"/>
      <c r="AL31" s="192"/>
      <c r="AN31" s="141"/>
      <c r="AP31" s="142" t="s">
        <v>52</v>
      </c>
      <c r="AQ31" s="180">
        <f>(ABS(SUM(AK24:AK31))-AN23)/AQ23</f>
        <v>594.06666666666672</v>
      </c>
      <c r="AT31" s="165"/>
      <c r="AU31" s="172"/>
      <c r="AV31" s="153"/>
      <c r="AW31" s="153"/>
      <c r="AX31" s="192"/>
      <c r="AZ31" s="141"/>
      <c r="BB31" s="142" t="s">
        <v>52</v>
      </c>
      <c r="BC31" s="180">
        <f>(ABS(SUM(AW24:AW31))-AZ23)/BC23</f>
        <v>766.66666666666663</v>
      </c>
      <c r="BF31" s="165"/>
      <c r="BG31" s="172"/>
      <c r="BH31" s="153"/>
      <c r="BI31" s="153"/>
      <c r="BJ31" s="192"/>
      <c r="BL31" s="141"/>
      <c r="BN31" s="142" t="s">
        <v>52</v>
      </c>
      <c r="BO31" s="180">
        <f>(ABS(SUM(BI24:BI31))-BL23)/BO23</f>
        <v>1101.6666666666667</v>
      </c>
      <c r="BP31" s="136">
        <v>1100</v>
      </c>
      <c r="BT31" s="165"/>
      <c r="BU31" s="172"/>
      <c r="BV31" s="153"/>
      <c r="BW31" s="153"/>
      <c r="BX31" s="192"/>
      <c r="BZ31" s="141"/>
      <c r="CB31" s="142" t="s">
        <v>52</v>
      </c>
      <c r="CC31" s="180">
        <f>(ABS(SUM(BW24:BW31))-BZ23)/CC23</f>
        <v>1148.3333333333333</v>
      </c>
      <c r="CD31" s="136">
        <v>1150</v>
      </c>
    </row>
    <row r="32" spans="1:82">
      <c r="E32" s="172">
        <f>SUM(E24:E31)</f>
        <v>-20950</v>
      </c>
      <c r="F32" s="137">
        <v>-17150</v>
      </c>
      <c r="G32" s="137">
        <f>SUM(G24:G31)</f>
        <v>-17375</v>
      </c>
      <c r="L32" s="172">
        <f>SUM(L24:L31)</f>
        <v>-5880</v>
      </c>
      <c r="P32" s="137"/>
      <c r="Q32" s="137"/>
      <c r="R32" s="193">
        <f>SUM(R24:R31)</f>
        <v>-8580</v>
      </c>
      <c r="V32" s="137"/>
      <c r="W32" s="137"/>
      <c r="X32" s="172">
        <f>SUM(X24:X31)</f>
        <v>-14690</v>
      </c>
      <c r="AB32" s="177" t="s">
        <v>235</v>
      </c>
      <c r="AC32" s="137"/>
      <c r="AD32" s="137"/>
      <c r="AE32" s="172">
        <f>SUM(AE24:AE31)</f>
        <v>-9390</v>
      </c>
      <c r="AI32" s="177" t="s">
        <v>235</v>
      </c>
      <c r="AJ32" s="137"/>
      <c r="AK32" s="137"/>
      <c r="AL32" s="172">
        <f>SUM(AL24:AL31)</f>
        <v>-9000</v>
      </c>
      <c r="AN32" s="141"/>
      <c r="AP32" s="142" t="s">
        <v>71</v>
      </c>
      <c r="AQ32" s="143"/>
      <c r="AU32" s="177" t="s">
        <v>235</v>
      </c>
      <c r="AV32" s="137"/>
      <c r="AW32" s="137"/>
      <c r="AX32" s="172">
        <f>SUM(AX24:AX31)</f>
        <v>-20000</v>
      </c>
      <c r="AZ32" s="141"/>
      <c r="BB32" s="142" t="s">
        <v>71</v>
      </c>
      <c r="BC32" s="143"/>
      <c r="BG32" s="177" t="s">
        <v>235</v>
      </c>
      <c r="BH32" s="184">
        <f>SUM(BH24:BH31)</f>
        <v>66000</v>
      </c>
      <c r="BI32" s="184">
        <f>SUM(BI24:BI31)</f>
        <v>-75100</v>
      </c>
      <c r="BJ32" s="172">
        <f>SUM(BJ24:BJ31)</f>
        <v>-9100</v>
      </c>
      <c r="BL32" s="141"/>
      <c r="BN32" s="142" t="s">
        <v>53</v>
      </c>
      <c r="BO32" s="143">
        <v>195</v>
      </c>
      <c r="BU32" s="177"/>
      <c r="BV32" s="184">
        <f>SUM(BV24:BV31)</f>
        <v>69000</v>
      </c>
      <c r="BW32" s="184">
        <f>SUM(BW24:BW31)</f>
        <v>-75900</v>
      </c>
      <c r="BX32" s="172">
        <f>SUM(BX24:BX31)</f>
        <v>-6900</v>
      </c>
      <c r="BZ32" s="141"/>
      <c r="CB32" s="142" t="s">
        <v>53</v>
      </c>
      <c r="CC32" s="143">
        <v>195</v>
      </c>
    </row>
    <row r="33" spans="1:82">
      <c r="E33" s="144"/>
      <c r="L33" s="144"/>
      <c r="P33" s="137"/>
      <c r="Q33" s="137"/>
      <c r="R33" s="194"/>
      <c r="V33" s="137"/>
      <c r="W33" s="137"/>
      <c r="X33" s="144"/>
      <c r="AC33" s="137"/>
      <c r="AD33" s="137"/>
      <c r="AE33" s="144"/>
      <c r="AJ33" s="137"/>
      <c r="AK33" s="137"/>
      <c r="AL33" s="144"/>
      <c r="AN33" s="141"/>
      <c r="AP33" s="143"/>
      <c r="AQ33" s="143"/>
      <c r="AV33" s="137"/>
      <c r="AW33" s="137"/>
      <c r="AX33" s="144"/>
      <c r="AZ33" s="141"/>
      <c r="BB33" s="143"/>
      <c r="BC33" s="143"/>
      <c r="BH33" s="137"/>
      <c r="BI33" s="137"/>
      <c r="BJ33" s="144"/>
      <c r="BL33" s="141"/>
      <c r="BN33" s="143"/>
      <c r="BO33" s="143"/>
      <c r="BV33" s="137"/>
      <c r="BW33" s="137"/>
      <c r="BX33" s="144"/>
      <c r="BZ33" s="141"/>
      <c r="CB33" s="143"/>
      <c r="CC33" s="143"/>
    </row>
    <row r="34" spans="1:82">
      <c r="V34" s="137"/>
      <c r="W34" s="137"/>
      <c r="AC34" s="137"/>
      <c r="AD34" s="137"/>
      <c r="AJ34" s="137"/>
      <c r="AK34" s="137"/>
      <c r="AN34" s="141"/>
      <c r="AP34" s="143"/>
      <c r="AQ34" s="143"/>
      <c r="AV34" s="137"/>
      <c r="AW34" s="137"/>
      <c r="AZ34" s="141"/>
      <c r="BB34" s="143"/>
      <c r="BC34" s="143"/>
      <c r="BH34" s="137"/>
      <c r="BI34" s="137"/>
      <c r="BL34" s="141"/>
      <c r="BN34" s="143"/>
      <c r="BO34" s="143"/>
      <c r="BV34" s="137"/>
      <c r="BW34" s="137"/>
      <c r="BZ34" s="141"/>
      <c r="CB34" s="143"/>
      <c r="CC34" s="143"/>
    </row>
    <row r="35" spans="1:82" ht="20.25">
      <c r="B35" s="145" t="s">
        <v>236</v>
      </c>
      <c r="I35" s="145" t="s">
        <v>237</v>
      </c>
      <c r="O35" s="145" t="s">
        <v>237</v>
      </c>
      <c r="P35" s="137"/>
      <c r="Q35" s="137"/>
      <c r="U35" s="145" t="s">
        <v>238</v>
      </c>
      <c r="V35" s="137"/>
      <c r="W35" s="137"/>
      <c r="Z35" s="139"/>
      <c r="AB35" s="145" t="s">
        <v>239</v>
      </c>
      <c r="AC35" s="137"/>
      <c r="AD35" s="137"/>
      <c r="AI35" s="145" t="s">
        <v>240</v>
      </c>
      <c r="AJ35" s="137"/>
      <c r="AK35" s="137"/>
      <c r="AN35" s="141"/>
      <c r="AP35" s="143"/>
      <c r="AQ35" s="143"/>
      <c r="AU35" s="145" t="s">
        <v>241</v>
      </c>
      <c r="AV35" s="137"/>
      <c r="AW35" s="137"/>
      <c r="AZ35" s="141"/>
      <c r="BB35" s="143"/>
      <c r="BC35" s="143"/>
      <c r="BG35" s="145" t="s">
        <v>242</v>
      </c>
      <c r="BH35" s="137"/>
      <c r="BI35" s="137"/>
      <c r="BL35" s="141"/>
      <c r="BN35" s="143"/>
      <c r="BO35" s="143"/>
      <c r="BU35" s="145" t="s">
        <v>243</v>
      </c>
      <c r="BV35" s="137"/>
      <c r="BW35" s="137"/>
      <c r="BZ35" s="141"/>
      <c r="CB35" s="143"/>
      <c r="CC35" s="143"/>
    </row>
    <row r="36" spans="1:82">
      <c r="P36" s="137"/>
      <c r="Q36" s="137"/>
      <c r="V36" s="137"/>
      <c r="W36" s="137"/>
      <c r="AC36" s="137"/>
      <c r="AD36" s="137"/>
      <c r="AJ36" s="137"/>
      <c r="AK36" s="137"/>
      <c r="AN36" s="141"/>
      <c r="AP36" s="143"/>
      <c r="AQ36" s="143"/>
      <c r="AV36" s="137"/>
      <c r="AW36" s="137"/>
      <c r="AZ36" s="141"/>
      <c r="BB36" s="143"/>
      <c r="BC36" s="143"/>
      <c r="BH36" s="137"/>
      <c r="BI36" s="137"/>
      <c r="BL36" s="141"/>
      <c r="BN36" s="143"/>
      <c r="BO36" s="143"/>
      <c r="BV36" s="137"/>
      <c r="BW36" s="137"/>
      <c r="BZ36" s="141"/>
      <c r="CB36" s="143"/>
      <c r="CC36" s="143"/>
    </row>
    <row r="37" spans="1:82" ht="18">
      <c r="A37" s="146" t="s">
        <v>39</v>
      </c>
      <c r="B37" s="147" t="s">
        <v>40</v>
      </c>
      <c r="C37" s="148" t="s">
        <v>41</v>
      </c>
      <c r="D37" s="148" t="s">
        <v>42</v>
      </c>
      <c r="E37" s="146" t="s">
        <v>4</v>
      </c>
      <c r="G37" s="137" t="s">
        <v>244</v>
      </c>
      <c r="H37" s="146" t="s">
        <v>39</v>
      </c>
      <c r="I37" s="147" t="s">
        <v>40</v>
      </c>
      <c r="J37" s="148" t="s">
        <v>41</v>
      </c>
      <c r="K37" s="148" t="s">
        <v>42</v>
      </c>
      <c r="L37" s="146" t="s">
        <v>4</v>
      </c>
      <c r="N37" s="146" t="s">
        <v>39</v>
      </c>
      <c r="O37" s="147" t="s">
        <v>40</v>
      </c>
      <c r="P37" s="148" t="s">
        <v>41</v>
      </c>
      <c r="Q37" s="148" t="s">
        <v>42</v>
      </c>
      <c r="R37" s="149" t="s">
        <v>4</v>
      </c>
      <c r="T37" s="146" t="s">
        <v>39</v>
      </c>
      <c r="U37" s="147" t="s">
        <v>40</v>
      </c>
      <c r="V37" s="148" t="s">
        <v>41</v>
      </c>
      <c r="W37" s="148" t="s">
        <v>42</v>
      </c>
      <c r="X37" s="146" t="s">
        <v>4</v>
      </c>
      <c r="AA37" s="146" t="s">
        <v>39</v>
      </c>
      <c r="AB37" s="147" t="s">
        <v>40</v>
      </c>
      <c r="AC37" s="148" t="s">
        <v>41</v>
      </c>
      <c r="AD37" s="148" t="s">
        <v>42</v>
      </c>
      <c r="AE37" s="146" t="s">
        <v>4</v>
      </c>
      <c r="AH37" s="146" t="s">
        <v>39</v>
      </c>
      <c r="AI37" s="147" t="s">
        <v>40</v>
      </c>
      <c r="AJ37" s="148" t="s">
        <v>41</v>
      </c>
      <c r="AK37" s="148" t="s">
        <v>42</v>
      </c>
      <c r="AL37" s="146" t="s">
        <v>4</v>
      </c>
      <c r="AN37" s="141">
        <v>18000</v>
      </c>
      <c r="AP37" s="142" t="s">
        <v>43</v>
      </c>
      <c r="AQ37" s="150">
        <v>45</v>
      </c>
      <c r="AT37" s="146" t="s">
        <v>39</v>
      </c>
      <c r="AU37" s="147" t="s">
        <v>40</v>
      </c>
      <c r="AV37" s="148" t="s">
        <v>41</v>
      </c>
      <c r="AW37" s="148" t="s">
        <v>42</v>
      </c>
      <c r="AX37" s="146" t="s">
        <v>4</v>
      </c>
      <c r="AZ37" s="141">
        <v>15000</v>
      </c>
      <c r="BB37" s="142" t="s">
        <v>43</v>
      </c>
      <c r="BC37" s="150">
        <v>45</v>
      </c>
      <c r="BF37" s="146" t="s">
        <v>39</v>
      </c>
      <c r="BG37" s="147" t="s">
        <v>40</v>
      </c>
      <c r="BH37" s="148" t="s">
        <v>41</v>
      </c>
      <c r="BI37" s="148" t="s">
        <v>42</v>
      </c>
      <c r="BJ37" s="146" t="s">
        <v>4</v>
      </c>
      <c r="BL37" s="141">
        <v>7000</v>
      </c>
      <c r="BM37" s="136">
        <v>13500</v>
      </c>
      <c r="BN37" s="142" t="s">
        <v>43</v>
      </c>
      <c r="BO37" s="150">
        <v>40</v>
      </c>
      <c r="BT37" s="146" t="s">
        <v>39</v>
      </c>
      <c r="BU37" s="147" t="s">
        <v>40</v>
      </c>
      <c r="BV37" s="148" t="s">
        <v>41</v>
      </c>
      <c r="BW37" s="148" t="s">
        <v>42</v>
      </c>
      <c r="BX37" s="146" t="s">
        <v>4</v>
      </c>
      <c r="BZ37" s="141">
        <v>5000</v>
      </c>
      <c r="CA37" s="136">
        <v>13500</v>
      </c>
      <c r="CB37" s="142" t="s">
        <v>43</v>
      </c>
      <c r="CC37" s="150">
        <v>40</v>
      </c>
    </row>
    <row r="38" spans="1:82">
      <c r="A38" s="151"/>
      <c r="B38" s="152" t="s">
        <v>245</v>
      </c>
      <c r="C38" s="195"/>
      <c r="D38" s="195">
        <v>-15000</v>
      </c>
      <c r="E38" s="155">
        <f>SUM(C38:D38)</f>
        <v>-15000</v>
      </c>
      <c r="G38" s="137">
        <v>-18984</v>
      </c>
      <c r="H38" s="151"/>
      <c r="I38" s="152" t="s">
        <v>246</v>
      </c>
      <c r="J38" s="195"/>
      <c r="K38" s="196">
        <v>-10000</v>
      </c>
      <c r="L38" s="155">
        <f>SUM(J38:K38)</f>
        <v>-10000</v>
      </c>
      <c r="M38" s="136" t="s">
        <v>175</v>
      </c>
      <c r="N38" s="151">
        <v>501</v>
      </c>
      <c r="O38" s="152" t="s">
        <v>246</v>
      </c>
      <c r="P38" s="195"/>
      <c r="Q38" s="197">
        <v>-10000</v>
      </c>
      <c r="R38" s="158">
        <f>SUM(P38:Q38)</f>
        <v>-10000</v>
      </c>
      <c r="T38" s="151">
        <v>501</v>
      </c>
      <c r="U38" s="152" t="s">
        <v>132</v>
      </c>
      <c r="V38" s="195"/>
      <c r="W38" s="197">
        <v>-33000</v>
      </c>
      <c r="X38" s="189">
        <f t="shared" ref="X38:X45" si="12">SUM(V38:W38)</f>
        <v>-33000</v>
      </c>
      <c r="Y38" s="198">
        <v>33000</v>
      </c>
      <c r="AA38" s="151">
        <v>501</v>
      </c>
      <c r="AB38" s="152" t="s">
        <v>132</v>
      </c>
      <c r="AC38" s="195"/>
      <c r="AD38" s="197">
        <v>-12000</v>
      </c>
      <c r="AE38" s="189">
        <f t="shared" ref="AE38:AE45" si="13">SUM(AC38:AD38)</f>
        <v>-12000</v>
      </c>
      <c r="AH38" s="151">
        <v>501</v>
      </c>
      <c r="AI38" s="152" t="s">
        <v>132</v>
      </c>
      <c r="AJ38" s="195"/>
      <c r="AK38" s="199">
        <v>-9328</v>
      </c>
      <c r="AL38" s="189">
        <f t="shared" ref="AL38:AL45" si="14">SUM(AJ38:AK38)</f>
        <v>-9328</v>
      </c>
      <c r="AN38" s="141"/>
      <c r="AP38" s="143"/>
      <c r="AQ38" s="143"/>
      <c r="AT38" s="151">
        <v>501</v>
      </c>
      <c r="AU38" s="152" t="s">
        <v>132</v>
      </c>
      <c r="AV38" s="195"/>
      <c r="AW38" s="199">
        <v>-12000</v>
      </c>
      <c r="AX38" s="189">
        <f t="shared" ref="AX38:AX45" si="15">SUM(AV38:AW38)</f>
        <v>-12000</v>
      </c>
      <c r="AZ38" s="141"/>
      <c r="BB38" s="143"/>
      <c r="BC38" s="143"/>
      <c r="BF38" s="151">
        <v>501</v>
      </c>
      <c r="BG38" s="152" t="s">
        <v>132</v>
      </c>
      <c r="BH38" s="195"/>
      <c r="BI38" s="199">
        <v>-14000</v>
      </c>
      <c r="BJ38" s="189">
        <f t="shared" ref="BJ38:BJ45" si="16">SUM(BH38:BI38)</f>
        <v>-14000</v>
      </c>
      <c r="BL38" s="141"/>
      <c r="BN38" s="143"/>
      <c r="BO38" s="143"/>
      <c r="BT38" s="151">
        <v>501</v>
      </c>
      <c r="BU38" s="152" t="s">
        <v>132</v>
      </c>
      <c r="BV38" s="195"/>
      <c r="BW38" s="199">
        <v>-13000</v>
      </c>
      <c r="BX38" s="189">
        <f t="shared" ref="BX38:BX45" si="17">SUM(BV38:BW38)</f>
        <v>-13000</v>
      </c>
      <c r="BZ38" s="141"/>
      <c r="CB38" s="143"/>
      <c r="CC38" s="143"/>
    </row>
    <row r="39" spans="1:82">
      <c r="A39" s="151"/>
      <c r="B39" s="152" t="s">
        <v>247</v>
      </c>
      <c r="C39" s="195"/>
      <c r="D39" s="195">
        <v>-1200</v>
      </c>
      <c r="E39" s="155">
        <f>SUM(C39:D39)</f>
        <v>-1200</v>
      </c>
      <c r="G39" s="137" t="s">
        <v>248</v>
      </c>
      <c r="H39" s="151"/>
      <c r="I39" s="152" t="s">
        <v>249</v>
      </c>
      <c r="J39" s="195"/>
      <c r="K39" s="195">
        <v>0</v>
      </c>
      <c r="L39" s="155">
        <f>SUM(J39:K39)</f>
        <v>0</v>
      </c>
      <c r="N39" s="151">
        <v>502</v>
      </c>
      <c r="O39" s="152" t="s">
        <v>249</v>
      </c>
      <c r="P39" s="195"/>
      <c r="Q39" s="195">
        <v>0</v>
      </c>
      <c r="R39" s="158">
        <f>SUM(P39:Q39)</f>
        <v>0</v>
      </c>
      <c r="T39" s="151">
        <v>502</v>
      </c>
      <c r="U39" s="152" t="s">
        <v>249</v>
      </c>
      <c r="V39" s="195"/>
      <c r="W39" s="195">
        <v>-2000</v>
      </c>
      <c r="X39" s="189">
        <f t="shared" si="12"/>
        <v>-2000</v>
      </c>
      <c r="Y39" s="198">
        <v>2000</v>
      </c>
      <c r="AA39" s="151">
        <v>502</v>
      </c>
      <c r="AB39" s="152" t="s">
        <v>249</v>
      </c>
      <c r="AC39" s="195"/>
      <c r="AD39" s="195">
        <v>-600</v>
      </c>
      <c r="AE39" s="189">
        <f t="shared" si="13"/>
        <v>-600</v>
      </c>
      <c r="AH39" s="151">
        <v>502</v>
      </c>
      <c r="AI39" s="152" t="s">
        <v>249</v>
      </c>
      <c r="AJ39" s="195"/>
      <c r="AK39" s="195">
        <v>-600</v>
      </c>
      <c r="AL39" s="189">
        <f t="shared" si="14"/>
        <v>-600</v>
      </c>
      <c r="AN39" s="141"/>
      <c r="AP39" s="143"/>
      <c r="AQ39" s="143"/>
      <c r="AT39" s="151">
        <v>502</v>
      </c>
      <c r="AU39" s="152" t="s">
        <v>249</v>
      </c>
      <c r="AV39" s="195"/>
      <c r="AW39" s="195">
        <v>-600</v>
      </c>
      <c r="AX39" s="189">
        <f t="shared" si="15"/>
        <v>-600</v>
      </c>
      <c r="AZ39" s="141"/>
      <c r="BB39" s="143"/>
      <c r="BC39" s="143"/>
      <c r="BF39" s="151">
        <v>502</v>
      </c>
      <c r="BG39" s="152" t="s">
        <v>56</v>
      </c>
      <c r="BH39" s="195"/>
      <c r="BI39" s="195">
        <v>-1200</v>
      </c>
      <c r="BJ39" s="189">
        <f t="shared" si="16"/>
        <v>-1200</v>
      </c>
      <c r="BL39" s="141"/>
      <c r="BN39" s="143"/>
      <c r="BO39" s="143"/>
      <c r="BT39" s="151">
        <v>502</v>
      </c>
      <c r="BU39" s="152" t="s">
        <v>56</v>
      </c>
      <c r="BV39" s="195"/>
      <c r="BW39" s="195">
        <v>-2000</v>
      </c>
      <c r="BX39" s="189">
        <f t="shared" si="17"/>
        <v>-2000</v>
      </c>
      <c r="BZ39" s="141"/>
      <c r="CB39" s="143"/>
      <c r="CC39" s="143"/>
    </row>
    <row r="40" spans="1:82">
      <c r="A40" s="151"/>
      <c r="B40" s="152"/>
      <c r="C40" s="195"/>
      <c r="D40" s="195"/>
      <c r="E40" s="155"/>
      <c r="H40" s="151"/>
      <c r="I40" s="152"/>
      <c r="J40" s="195"/>
      <c r="K40" s="195"/>
      <c r="L40" s="155"/>
      <c r="N40" s="151"/>
      <c r="O40" s="152"/>
      <c r="P40" s="195"/>
      <c r="Q40" s="195"/>
      <c r="R40" s="158"/>
      <c r="T40" s="151">
        <v>503</v>
      </c>
      <c r="U40" s="152" t="s">
        <v>250</v>
      </c>
      <c r="V40" s="195"/>
      <c r="W40" s="195">
        <f>-100*4*42</f>
        <v>-16800</v>
      </c>
      <c r="X40" s="189">
        <f t="shared" si="12"/>
        <v>-16800</v>
      </c>
      <c r="Y40" s="198">
        <v>18800</v>
      </c>
      <c r="AA40" s="151">
        <v>503</v>
      </c>
      <c r="AB40" s="152" t="s">
        <v>251</v>
      </c>
      <c r="AC40" s="195"/>
      <c r="AD40" s="195">
        <f>-200*2*45</f>
        <v>-18000</v>
      </c>
      <c r="AE40" s="189">
        <f t="shared" si="13"/>
        <v>-18000</v>
      </c>
      <c r="AH40" s="151">
        <v>503</v>
      </c>
      <c r="AI40" s="152" t="s">
        <v>251</v>
      </c>
      <c r="AJ40" s="195"/>
      <c r="AK40" s="195">
        <f>-200*2*45</f>
        <v>-18000</v>
      </c>
      <c r="AL40" s="189">
        <f t="shared" si="14"/>
        <v>-18000</v>
      </c>
      <c r="AN40" s="141"/>
      <c r="AP40" s="143"/>
      <c r="AQ40" s="143"/>
      <c r="AT40" s="151">
        <v>503</v>
      </c>
      <c r="AU40" s="152" t="s">
        <v>251</v>
      </c>
      <c r="AV40" s="195"/>
      <c r="AW40" s="195">
        <f>-200*2*45</f>
        <v>-18000</v>
      </c>
      <c r="AX40" s="189">
        <f t="shared" si="15"/>
        <v>-18000</v>
      </c>
      <c r="AZ40" s="141"/>
      <c r="BB40" s="143"/>
      <c r="BC40" s="143"/>
      <c r="BF40" s="151">
        <v>503</v>
      </c>
      <c r="BG40" s="152" t="s">
        <v>252</v>
      </c>
      <c r="BH40" s="195"/>
      <c r="BI40" s="195">
        <f>-(20*2*45+1200)</f>
        <v>-3000</v>
      </c>
      <c r="BJ40" s="189">
        <f t="shared" si="16"/>
        <v>-3000</v>
      </c>
      <c r="BL40" s="141"/>
      <c r="BN40" s="143"/>
      <c r="BO40" s="143"/>
      <c r="BT40" s="151">
        <v>503</v>
      </c>
      <c r="BU40" s="152" t="s">
        <v>133</v>
      </c>
      <c r="BV40" s="195"/>
      <c r="BW40" s="195">
        <f>-5000</f>
        <v>-5000</v>
      </c>
      <c r="BX40" s="189">
        <f t="shared" si="17"/>
        <v>-5000</v>
      </c>
      <c r="BZ40" s="141"/>
      <c r="CB40" s="143"/>
      <c r="CC40" s="143"/>
    </row>
    <row r="41" spans="1:82">
      <c r="A41" s="165"/>
      <c r="B41" s="163" t="s">
        <v>253</v>
      </c>
      <c r="C41" s="178"/>
      <c r="D41" s="178">
        <v>-26000</v>
      </c>
      <c r="E41" s="168">
        <f>SUM(C41:D41)</f>
        <v>-26000</v>
      </c>
      <c r="G41" s="137">
        <v>-30156</v>
      </c>
      <c r="H41" s="165"/>
      <c r="I41" s="175" t="s">
        <v>254</v>
      </c>
      <c r="J41" s="178"/>
      <c r="K41" s="178">
        <f>-400*20</f>
        <v>-8000</v>
      </c>
      <c r="L41" s="168">
        <f>SUM(J41:K41)</f>
        <v>-8000</v>
      </c>
      <c r="N41" s="165">
        <v>503</v>
      </c>
      <c r="O41" s="163" t="s">
        <v>255</v>
      </c>
      <c r="P41" s="178"/>
      <c r="Q41" s="178">
        <v>-16800</v>
      </c>
      <c r="R41" s="169">
        <f>SUM(P41:Q41)</f>
        <v>-16800</v>
      </c>
      <c r="T41" s="165">
        <v>504</v>
      </c>
      <c r="U41" s="163" t="s">
        <v>256</v>
      </c>
      <c r="V41" s="178"/>
      <c r="W41" s="178">
        <f>-500*42</f>
        <v>-21000</v>
      </c>
      <c r="X41" s="192">
        <f t="shared" si="12"/>
        <v>-21000</v>
      </c>
      <c r="Y41" s="198">
        <v>23500</v>
      </c>
      <c r="AA41" s="165">
        <v>504</v>
      </c>
      <c r="AB41" s="163" t="s">
        <v>134</v>
      </c>
      <c r="AC41" s="178"/>
      <c r="AD41" s="178">
        <f>-250*45</f>
        <v>-11250</v>
      </c>
      <c r="AE41" s="192">
        <f t="shared" si="13"/>
        <v>-11250</v>
      </c>
      <c r="AH41" s="165">
        <v>504</v>
      </c>
      <c r="AI41" s="163" t="s">
        <v>134</v>
      </c>
      <c r="AJ41" s="178"/>
      <c r="AK41" s="178">
        <f>-250*45</f>
        <v>-11250</v>
      </c>
      <c r="AL41" s="192">
        <f t="shared" si="14"/>
        <v>-11250</v>
      </c>
      <c r="AN41" s="141"/>
      <c r="AP41" s="143"/>
      <c r="AQ41" s="143"/>
      <c r="AT41" s="165">
        <v>504</v>
      </c>
      <c r="AU41" s="163" t="s">
        <v>134</v>
      </c>
      <c r="AV41" s="178"/>
      <c r="AW41" s="178">
        <f>-250*45</f>
        <v>-11250</v>
      </c>
      <c r="AX41" s="192">
        <f t="shared" si="15"/>
        <v>-11250</v>
      </c>
      <c r="AZ41" s="141"/>
      <c r="BB41" s="143"/>
      <c r="BC41" s="143"/>
      <c r="BF41" s="165">
        <v>504</v>
      </c>
      <c r="BG41" s="163" t="s">
        <v>134</v>
      </c>
      <c r="BH41" s="178"/>
      <c r="BI41" s="178">
        <f>-250*45</f>
        <v>-11250</v>
      </c>
      <c r="BJ41" s="192">
        <f t="shared" si="16"/>
        <v>-11250</v>
      </c>
      <c r="BL41" s="141"/>
      <c r="BN41" s="143"/>
      <c r="BO41" s="143"/>
      <c r="BT41" s="165">
        <v>504</v>
      </c>
      <c r="BU41" s="163" t="s">
        <v>134</v>
      </c>
      <c r="BV41" s="178"/>
      <c r="BW41" s="178">
        <f>-250*45</f>
        <v>-11250</v>
      </c>
      <c r="BX41" s="192">
        <f t="shared" si="17"/>
        <v>-11250</v>
      </c>
      <c r="BZ41" s="141"/>
      <c r="CB41" s="143"/>
      <c r="CC41" s="143"/>
    </row>
    <row r="42" spans="1:82">
      <c r="A42" s="165"/>
      <c r="B42" s="163"/>
      <c r="C42" s="178"/>
      <c r="D42" s="178"/>
      <c r="E42" s="168"/>
      <c r="H42" s="165"/>
      <c r="I42" s="175"/>
      <c r="J42" s="178"/>
      <c r="K42" s="178"/>
      <c r="L42" s="168"/>
      <c r="N42" s="165"/>
      <c r="O42" s="163"/>
      <c r="P42" s="178"/>
      <c r="Q42" s="178"/>
      <c r="R42" s="169"/>
      <c r="T42" s="165">
        <v>506</v>
      </c>
      <c r="U42" s="163" t="s">
        <v>257</v>
      </c>
      <c r="V42" s="178"/>
      <c r="W42" s="178">
        <f>-200*4*3</f>
        <v>-2400</v>
      </c>
      <c r="X42" s="192">
        <f t="shared" si="12"/>
        <v>-2400</v>
      </c>
      <c r="Y42" s="198">
        <v>2100</v>
      </c>
      <c r="AA42" s="165">
        <v>506</v>
      </c>
      <c r="AB42" s="163" t="s">
        <v>258</v>
      </c>
      <c r="AC42" s="178"/>
      <c r="AD42" s="178">
        <f>-200*4*2</f>
        <v>-1600</v>
      </c>
      <c r="AE42" s="192">
        <f t="shared" si="13"/>
        <v>-1600</v>
      </c>
      <c r="AH42" s="165">
        <v>506</v>
      </c>
      <c r="AI42" s="163" t="s">
        <v>258</v>
      </c>
      <c r="AJ42" s="178"/>
      <c r="AK42" s="178">
        <f>-200*4*2</f>
        <v>-1600</v>
      </c>
      <c r="AL42" s="192">
        <f t="shared" si="14"/>
        <v>-1600</v>
      </c>
      <c r="AN42" s="141"/>
      <c r="AP42" s="143"/>
      <c r="AQ42" s="143"/>
      <c r="AT42" s="165">
        <v>506</v>
      </c>
      <c r="AU42" s="163" t="s">
        <v>258</v>
      </c>
      <c r="AV42" s="178"/>
      <c r="AW42" s="178">
        <f>-200*4*2</f>
        <v>-1600</v>
      </c>
      <c r="AX42" s="192">
        <f t="shared" si="15"/>
        <v>-1600</v>
      </c>
      <c r="AZ42" s="141"/>
      <c r="BB42" s="143"/>
      <c r="BC42" s="143"/>
      <c r="BF42" s="165">
        <v>506</v>
      </c>
      <c r="BG42" s="163" t="s">
        <v>65</v>
      </c>
      <c r="BH42" s="178"/>
      <c r="BI42" s="178">
        <f>-20*4*2</f>
        <v>-160</v>
      </c>
      <c r="BJ42" s="192">
        <f t="shared" si="16"/>
        <v>-160</v>
      </c>
      <c r="BL42" s="141"/>
      <c r="BN42" s="143"/>
      <c r="BO42" s="143"/>
      <c r="BT42" s="165">
        <v>506</v>
      </c>
      <c r="BU42" s="163" t="s">
        <v>65</v>
      </c>
      <c r="BV42" s="178"/>
      <c r="BW42" s="178">
        <f>-20*4*2</f>
        <v>-160</v>
      </c>
      <c r="BX42" s="192">
        <f t="shared" si="17"/>
        <v>-160</v>
      </c>
      <c r="BZ42" s="141"/>
      <c r="CB42" s="143"/>
      <c r="CC42" s="143"/>
    </row>
    <row r="43" spans="1:82">
      <c r="A43" s="165"/>
      <c r="B43" s="163"/>
      <c r="C43" s="178"/>
      <c r="D43" s="178"/>
      <c r="E43" s="168"/>
      <c r="H43" s="165"/>
      <c r="I43" s="175"/>
      <c r="J43" s="178"/>
      <c r="K43" s="178"/>
      <c r="L43" s="168"/>
      <c r="N43" s="165"/>
      <c r="O43" s="163"/>
      <c r="P43" s="178"/>
      <c r="Q43" s="178"/>
      <c r="R43" s="169"/>
      <c r="T43" s="165">
        <v>507</v>
      </c>
      <c r="U43" s="163" t="s">
        <v>259</v>
      </c>
      <c r="V43" s="178"/>
      <c r="W43" s="178">
        <f>-500*3</f>
        <v>-1500</v>
      </c>
      <c r="X43" s="192">
        <f t="shared" si="12"/>
        <v>-1500</v>
      </c>
      <c r="Y43" s="198">
        <v>1500</v>
      </c>
      <c r="AA43" s="165">
        <v>507</v>
      </c>
      <c r="AB43" s="163" t="s">
        <v>259</v>
      </c>
      <c r="AC43" s="178"/>
      <c r="AD43" s="178">
        <f>-250*4</f>
        <v>-1000</v>
      </c>
      <c r="AE43" s="192">
        <f t="shared" si="13"/>
        <v>-1000</v>
      </c>
      <c r="AH43" s="165">
        <v>507</v>
      </c>
      <c r="AI43" s="163" t="s">
        <v>259</v>
      </c>
      <c r="AJ43" s="178"/>
      <c r="AK43" s="178">
        <f>-250*4</f>
        <v>-1000</v>
      </c>
      <c r="AL43" s="192">
        <f t="shared" si="14"/>
        <v>-1000</v>
      </c>
      <c r="AN43" s="141"/>
      <c r="AP43" s="143"/>
      <c r="AQ43" s="143"/>
      <c r="AT43" s="165">
        <v>507</v>
      </c>
      <c r="AU43" s="163" t="s">
        <v>259</v>
      </c>
      <c r="AV43" s="178"/>
      <c r="AW43" s="178">
        <f>-250*4</f>
        <v>-1000</v>
      </c>
      <c r="AX43" s="192">
        <f t="shared" si="15"/>
        <v>-1000</v>
      </c>
      <c r="AZ43" s="141"/>
      <c r="BB43" s="143"/>
      <c r="BC43" s="143"/>
      <c r="BF43" s="165">
        <v>507</v>
      </c>
      <c r="BG43" s="163" t="s">
        <v>66</v>
      </c>
      <c r="BH43" s="178"/>
      <c r="BI43" s="178">
        <f>-250*4</f>
        <v>-1000</v>
      </c>
      <c r="BJ43" s="192">
        <f t="shared" si="16"/>
        <v>-1000</v>
      </c>
      <c r="BL43" s="141"/>
      <c r="BN43" s="143"/>
      <c r="BO43" s="143"/>
      <c r="BT43" s="165">
        <v>507</v>
      </c>
      <c r="BU43" s="163" t="s">
        <v>66</v>
      </c>
      <c r="BV43" s="178"/>
      <c r="BW43" s="178">
        <f>-250*4</f>
        <v>-1000</v>
      </c>
      <c r="BX43" s="192">
        <f t="shared" si="17"/>
        <v>-1000</v>
      </c>
      <c r="BZ43" s="141"/>
      <c r="CB43" s="143"/>
      <c r="CC43" s="143"/>
    </row>
    <row r="44" spans="1:82">
      <c r="A44" s="165"/>
      <c r="B44" s="163"/>
      <c r="C44" s="178"/>
      <c r="D44" s="178"/>
      <c r="E44" s="168"/>
      <c r="H44" s="165"/>
      <c r="I44" s="175"/>
      <c r="J44" s="178"/>
      <c r="K44" s="178"/>
      <c r="L44" s="168"/>
      <c r="N44" s="165"/>
      <c r="O44" s="163"/>
      <c r="P44" s="178"/>
      <c r="Q44" s="178"/>
      <c r="R44" s="169"/>
      <c r="T44" s="165">
        <v>508</v>
      </c>
      <c r="U44" s="163" t="s">
        <v>260</v>
      </c>
      <c r="V44" s="178"/>
      <c r="W44" s="178">
        <f>-175*45</f>
        <v>-7875</v>
      </c>
      <c r="X44" s="192">
        <f t="shared" si="12"/>
        <v>-7875</v>
      </c>
      <c r="Y44" s="198">
        <v>8750</v>
      </c>
      <c r="AA44" s="165">
        <v>508</v>
      </c>
      <c r="AB44" s="163" t="s">
        <v>67</v>
      </c>
      <c r="AC44" s="178"/>
      <c r="AD44" s="178">
        <f>-175*45</f>
        <v>-7875</v>
      </c>
      <c r="AE44" s="192">
        <f t="shared" si="13"/>
        <v>-7875</v>
      </c>
      <c r="AH44" s="165">
        <v>508</v>
      </c>
      <c r="AI44" s="163" t="s">
        <v>67</v>
      </c>
      <c r="AJ44" s="178"/>
      <c r="AK44" s="178">
        <f>-175*45</f>
        <v>-7875</v>
      </c>
      <c r="AL44" s="192">
        <f t="shared" si="14"/>
        <v>-7875</v>
      </c>
      <c r="AN44" s="141"/>
      <c r="AP44" s="143"/>
      <c r="AQ44" s="143"/>
      <c r="AT44" s="165">
        <v>508</v>
      </c>
      <c r="AU44" s="163" t="s">
        <v>67</v>
      </c>
      <c r="AV44" s="178"/>
      <c r="AW44" s="178">
        <f>-175*45</f>
        <v>-7875</v>
      </c>
      <c r="AX44" s="192">
        <f t="shared" si="15"/>
        <v>-7875</v>
      </c>
      <c r="AZ44" s="141"/>
      <c r="BB44" s="143"/>
      <c r="BC44" s="143"/>
      <c r="BF44" s="165">
        <v>508</v>
      </c>
      <c r="BG44" s="163" t="s">
        <v>67</v>
      </c>
      <c r="BH44" s="178"/>
      <c r="BI44" s="178">
        <f>-175*45</f>
        <v>-7875</v>
      </c>
      <c r="BJ44" s="192">
        <f t="shared" si="16"/>
        <v>-7875</v>
      </c>
      <c r="BL44" s="141"/>
      <c r="BN44" s="143"/>
      <c r="BO44" s="143"/>
      <c r="BT44" s="165">
        <v>508</v>
      </c>
      <c r="BU44" s="163" t="s">
        <v>67</v>
      </c>
      <c r="BV44" s="178"/>
      <c r="BW44" s="178">
        <f>-175*45</f>
        <v>-7875</v>
      </c>
      <c r="BX44" s="192">
        <f t="shared" si="17"/>
        <v>-7875</v>
      </c>
      <c r="BZ44" s="141"/>
      <c r="CB44" s="143"/>
      <c r="CC44" s="143"/>
    </row>
    <row r="45" spans="1:82">
      <c r="A45" s="165"/>
      <c r="B45" s="163"/>
      <c r="C45" s="178"/>
      <c r="D45" s="178"/>
      <c r="E45" s="168"/>
      <c r="H45" s="165"/>
      <c r="I45" s="175"/>
      <c r="J45" s="178"/>
      <c r="K45" s="178"/>
      <c r="L45" s="168"/>
      <c r="N45" s="165"/>
      <c r="O45" s="163"/>
      <c r="P45" s="178"/>
      <c r="Q45" s="178"/>
      <c r="R45" s="169"/>
      <c r="T45" s="165">
        <v>509</v>
      </c>
      <c r="U45" s="163" t="s">
        <v>261</v>
      </c>
      <c r="V45" s="178">
        <f>42*1500</f>
        <v>63000</v>
      </c>
      <c r="W45" s="178"/>
      <c r="X45" s="192">
        <f t="shared" si="12"/>
        <v>63000</v>
      </c>
      <c r="Y45" s="198">
        <v>58500</v>
      </c>
      <c r="AA45" s="165">
        <v>509</v>
      </c>
      <c r="AB45" s="163" t="s">
        <v>262</v>
      </c>
      <c r="AC45" s="178">
        <f>45*1000</f>
        <v>45000</v>
      </c>
      <c r="AD45" s="178"/>
      <c r="AE45" s="192">
        <f t="shared" si="13"/>
        <v>45000</v>
      </c>
      <c r="AH45" s="165">
        <v>509</v>
      </c>
      <c r="AI45" s="163" t="s">
        <v>263</v>
      </c>
      <c r="AJ45" s="178">
        <f>AQ37*AQ48</f>
        <v>31653</v>
      </c>
      <c r="AK45" s="178"/>
      <c r="AL45" s="192">
        <f t="shared" si="14"/>
        <v>31653</v>
      </c>
      <c r="AN45" s="141"/>
      <c r="AP45" s="143"/>
      <c r="AQ45" s="143"/>
      <c r="AT45" s="165">
        <v>509</v>
      </c>
      <c r="AU45" s="163" t="s">
        <v>264</v>
      </c>
      <c r="AV45" s="178">
        <f>BC37*BC48</f>
        <v>37325</v>
      </c>
      <c r="AW45" s="178"/>
      <c r="AX45" s="192">
        <f t="shared" si="15"/>
        <v>37325</v>
      </c>
      <c r="AZ45" s="141"/>
      <c r="BB45" s="143"/>
      <c r="BC45" s="143"/>
      <c r="BF45" s="165">
        <v>509</v>
      </c>
      <c r="BG45" s="163" t="s">
        <v>265</v>
      </c>
      <c r="BH45" s="178">
        <f>BO37*BP48</f>
        <v>32000</v>
      </c>
      <c r="BI45" s="178"/>
      <c r="BJ45" s="192">
        <f t="shared" si="16"/>
        <v>32000</v>
      </c>
      <c r="BL45" s="141"/>
      <c r="BN45" s="143"/>
      <c r="BO45" s="143"/>
      <c r="BT45" s="165">
        <v>509</v>
      </c>
      <c r="BU45" s="163" t="s">
        <v>266</v>
      </c>
      <c r="BV45" s="178">
        <f>CC37*CD48</f>
        <v>35200</v>
      </c>
      <c r="BW45" s="178"/>
      <c r="BX45" s="192">
        <f t="shared" si="17"/>
        <v>35200</v>
      </c>
      <c r="BZ45" s="141"/>
      <c r="CB45" s="143"/>
      <c r="CC45" s="143"/>
    </row>
    <row r="46" spans="1:82">
      <c r="A46" s="165"/>
      <c r="B46" s="163" t="s">
        <v>267</v>
      </c>
      <c r="C46" s="178"/>
      <c r="D46" s="178">
        <v>-4000</v>
      </c>
      <c r="E46" s="168">
        <f>SUM(C46:D46)</f>
        <v>-4000</v>
      </c>
      <c r="G46" s="137">
        <v>-2800</v>
      </c>
      <c r="H46" s="165"/>
      <c r="I46" s="175" t="s">
        <v>268</v>
      </c>
      <c r="J46" s="178"/>
      <c r="K46" s="178">
        <f>-150*20</f>
        <v>-3000</v>
      </c>
      <c r="L46" s="168">
        <f>SUM(J46:K46)</f>
        <v>-3000</v>
      </c>
      <c r="N46" s="165">
        <v>504</v>
      </c>
      <c r="O46" s="163" t="s">
        <v>267</v>
      </c>
      <c r="P46" s="178"/>
      <c r="Q46" s="178">
        <v>-4000</v>
      </c>
      <c r="R46" s="169">
        <f>SUM(P46:Q46)</f>
        <v>-4000</v>
      </c>
      <c r="T46" s="165">
        <v>510</v>
      </c>
      <c r="U46" s="200" t="s">
        <v>269</v>
      </c>
      <c r="V46" s="178">
        <v>0</v>
      </c>
      <c r="W46" s="163"/>
      <c r="X46" s="165">
        <v>0</v>
      </c>
      <c r="Y46" s="198"/>
      <c r="AA46" s="165">
        <v>510</v>
      </c>
      <c r="AB46" s="200" t="s">
        <v>69</v>
      </c>
      <c r="AC46" s="178">
        <v>0</v>
      </c>
      <c r="AD46" s="163"/>
      <c r="AE46" s="165">
        <v>0</v>
      </c>
      <c r="AH46" s="165">
        <v>510</v>
      </c>
      <c r="AI46" s="200" t="s">
        <v>69</v>
      </c>
      <c r="AJ46" s="178">
        <v>0</v>
      </c>
      <c r="AK46" s="163"/>
      <c r="AL46" s="165">
        <v>0</v>
      </c>
      <c r="AN46" s="141"/>
      <c r="AP46" s="143"/>
      <c r="AQ46" s="143"/>
      <c r="AT46" s="165">
        <v>510</v>
      </c>
      <c r="AU46" s="200" t="s">
        <v>69</v>
      </c>
      <c r="AV46" s="178">
        <v>0</v>
      </c>
      <c r="AW46" s="163"/>
      <c r="AX46" s="165">
        <v>0</v>
      </c>
      <c r="AZ46" s="141"/>
      <c r="BB46" s="143"/>
      <c r="BC46" s="143"/>
      <c r="BF46" s="165">
        <v>510</v>
      </c>
      <c r="BG46" s="200" t="s">
        <v>69</v>
      </c>
      <c r="BH46" s="178">
        <v>0</v>
      </c>
      <c r="BI46" s="163"/>
      <c r="BJ46" s="165">
        <v>0</v>
      </c>
      <c r="BL46" s="141"/>
      <c r="BN46" s="143"/>
      <c r="BO46" s="143"/>
      <c r="BT46" s="165">
        <v>510</v>
      </c>
      <c r="BU46" s="200" t="s">
        <v>69</v>
      </c>
      <c r="BV46" s="178">
        <v>0</v>
      </c>
      <c r="BW46" s="163"/>
      <c r="BX46" s="165">
        <v>0</v>
      </c>
      <c r="BZ46" s="141"/>
      <c r="CB46" s="143"/>
      <c r="CC46" s="143"/>
    </row>
    <row r="47" spans="1:82">
      <c r="A47" s="201"/>
      <c r="B47" s="202"/>
      <c r="C47" s="203"/>
      <c r="D47" s="203"/>
      <c r="E47" s="204"/>
      <c r="H47" s="201"/>
      <c r="I47" s="202"/>
      <c r="J47" s="203"/>
      <c r="K47" s="203"/>
      <c r="L47" s="204"/>
      <c r="N47" s="201"/>
      <c r="O47" s="202"/>
      <c r="P47" s="203"/>
      <c r="Q47" s="203"/>
      <c r="R47" s="205"/>
      <c r="T47" s="201">
        <v>511</v>
      </c>
      <c r="U47" s="206" t="s">
        <v>270</v>
      </c>
      <c r="V47" s="207"/>
      <c r="W47" s="203"/>
      <c r="X47" s="179">
        <v>0</v>
      </c>
      <c r="Y47" s="198"/>
      <c r="AA47" s="201">
        <v>511</v>
      </c>
      <c r="AB47" s="206"/>
      <c r="AC47" s="207"/>
      <c r="AD47" s="203"/>
      <c r="AE47" s="179">
        <v>0</v>
      </c>
      <c r="AH47" s="201">
        <v>511</v>
      </c>
      <c r="AI47" s="206"/>
      <c r="AJ47" s="207"/>
      <c r="AK47" s="203"/>
      <c r="AL47" s="179">
        <v>0</v>
      </c>
      <c r="AN47" s="141"/>
      <c r="AP47" s="143"/>
      <c r="AQ47" s="143"/>
      <c r="AT47" s="201">
        <v>511</v>
      </c>
      <c r="AU47" s="206"/>
      <c r="AV47" s="207"/>
      <c r="AW47" s="203"/>
      <c r="AX47" s="179">
        <v>0</v>
      </c>
      <c r="AZ47" s="141"/>
      <c r="BB47" s="143"/>
      <c r="BC47" s="143"/>
      <c r="BF47" s="201">
        <v>511</v>
      </c>
      <c r="BG47" s="206" t="s">
        <v>70</v>
      </c>
      <c r="BH47" s="207">
        <v>0</v>
      </c>
      <c r="BI47" s="203"/>
      <c r="BJ47" s="179">
        <v>0</v>
      </c>
      <c r="BL47" s="141"/>
      <c r="BN47" s="143"/>
      <c r="BO47" s="143"/>
      <c r="BT47" s="201">
        <v>511</v>
      </c>
      <c r="BU47" s="206" t="s">
        <v>70</v>
      </c>
      <c r="BV47" s="207">
        <v>0</v>
      </c>
      <c r="BW47" s="203"/>
      <c r="BX47" s="179">
        <v>0</v>
      </c>
      <c r="BZ47" s="141"/>
      <c r="CB47" s="143"/>
      <c r="CC47" s="143"/>
    </row>
    <row r="48" spans="1:82">
      <c r="A48" s="165"/>
      <c r="B48" s="172" t="s">
        <v>271</v>
      </c>
      <c r="C48" s="178"/>
      <c r="D48" s="178"/>
      <c r="E48" s="168">
        <f>SUM(C48:D48)</f>
        <v>0</v>
      </c>
      <c r="H48" s="165"/>
      <c r="I48" s="172"/>
      <c r="J48" s="178"/>
      <c r="K48" s="178"/>
      <c r="L48" s="168">
        <f>SUM(J48:K48)</f>
        <v>0</v>
      </c>
      <c r="N48" s="165"/>
      <c r="O48" s="172"/>
      <c r="P48" s="178"/>
      <c r="Q48" s="178"/>
      <c r="R48" s="169">
        <f>SUM(P48:Q48)</f>
        <v>0</v>
      </c>
      <c r="T48" s="165"/>
      <c r="U48" s="163" t="s">
        <v>272</v>
      </c>
      <c r="V48" s="178"/>
      <c r="W48" s="178"/>
      <c r="X48" s="192">
        <f>SUM(V48:W48)</f>
        <v>0</v>
      </c>
      <c r="Y48" s="198">
        <v>14200</v>
      </c>
      <c r="AA48" s="165"/>
      <c r="AB48" s="172"/>
      <c r="AC48" s="178"/>
      <c r="AD48" s="178"/>
      <c r="AE48" s="192">
        <f>SUM(AC48:AD48)</f>
        <v>0</v>
      </c>
      <c r="AH48" s="165"/>
      <c r="AI48" s="172"/>
      <c r="AJ48" s="178"/>
      <c r="AK48" s="178"/>
      <c r="AL48" s="192">
        <f>SUM(AJ48:AK48)</f>
        <v>0</v>
      </c>
      <c r="AN48" s="141"/>
      <c r="AP48" s="142" t="s">
        <v>52</v>
      </c>
      <c r="AQ48" s="180">
        <f>(ABS(SUM(AK38:AK48))-AN37)/AQ37</f>
        <v>703.4</v>
      </c>
      <c r="AT48" s="165"/>
      <c r="AU48" s="172"/>
      <c r="AV48" s="178"/>
      <c r="AW48" s="178"/>
      <c r="AX48" s="192">
        <f>SUM(AV48:AW48)</f>
        <v>0</v>
      </c>
      <c r="AZ48" s="141"/>
      <c r="BB48" s="142" t="s">
        <v>52</v>
      </c>
      <c r="BC48" s="180">
        <f>(ABS(SUM(AW38:AW48))-AZ37)/BC37</f>
        <v>829.44444444444446</v>
      </c>
      <c r="BF48" s="165"/>
      <c r="BG48" s="172"/>
      <c r="BH48" s="178"/>
      <c r="BI48" s="178"/>
      <c r="BJ48" s="192">
        <f>SUM(BH48:BI48)</f>
        <v>0</v>
      </c>
      <c r="BL48" s="141"/>
      <c r="BN48" s="142" t="s">
        <v>52</v>
      </c>
      <c r="BO48" s="180">
        <f>(ABS(SUM(BI38:BI48))-BL37)/BO37</f>
        <v>787.125</v>
      </c>
      <c r="BP48" s="136">
        <v>800</v>
      </c>
      <c r="BT48" s="165"/>
      <c r="BU48" s="172"/>
      <c r="BV48" s="178"/>
      <c r="BW48" s="178"/>
      <c r="BX48" s="192">
        <f>SUM(BV48:BW48)</f>
        <v>0</v>
      </c>
      <c r="BZ48" s="141"/>
      <c r="CB48" s="142" t="s">
        <v>52</v>
      </c>
      <c r="CC48" s="180">
        <f>(ABS(SUM(BW38:BW48))-BZ37)/CC37</f>
        <v>882.125</v>
      </c>
      <c r="CD48" s="136">
        <v>880</v>
      </c>
    </row>
    <row r="49" spans="1:81">
      <c r="E49" s="172">
        <f>SUM(E38:E48)</f>
        <v>-46200</v>
      </c>
      <c r="F49" s="137">
        <v>-17000</v>
      </c>
      <c r="G49" s="137">
        <f>SUM(G38:G48)</f>
        <v>-51940</v>
      </c>
      <c r="L49" s="172">
        <f>SUM(L38:L48)</f>
        <v>-21000</v>
      </c>
      <c r="P49" s="137"/>
      <c r="Q49" s="137"/>
      <c r="R49" s="193">
        <f>SUM(R38:R48)</f>
        <v>-30800</v>
      </c>
      <c r="V49" s="137"/>
      <c r="W49" s="137"/>
      <c r="X49" s="172">
        <f>SUM(X38:X48)</f>
        <v>-21575</v>
      </c>
      <c r="Y49" s="198">
        <v>-16950</v>
      </c>
      <c r="AC49" s="137"/>
      <c r="AD49" s="137"/>
      <c r="AE49" s="172">
        <f>SUM(AE38:AE48)</f>
        <v>-7325</v>
      </c>
      <c r="AJ49" s="137"/>
      <c r="AK49" s="137"/>
      <c r="AL49" s="172">
        <f>SUM(AL38:AL48)</f>
        <v>-18000</v>
      </c>
      <c r="AN49" s="141"/>
      <c r="AP49" s="142" t="s">
        <v>71</v>
      </c>
      <c r="AQ49" s="143"/>
      <c r="AV49" s="137"/>
      <c r="AW49" s="137"/>
      <c r="AX49" s="172">
        <f>SUM(AX38:AX48)</f>
        <v>-15000</v>
      </c>
      <c r="AZ49" s="141"/>
      <c r="BB49" s="142" t="s">
        <v>71</v>
      </c>
      <c r="BC49" s="143"/>
      <c r="BH49" s="137">
        <f>SUM(BH38:BH48)</f>
        <v>32000</v>
      </c>
      <c r="BI49" s="137">
        <f>SUM(BI38:BI48)</f>
        <v>-38485</v>
      </c>
      <c r="BJ49" s="172">
        <f>SUM(BJ38:BJ48)</f>
        <v>-6485</v>
      </c>
      <c r="BL49" s="141"/>
      <c r="BN49" s="142" t="s">
        <v>71</v>
      </c>
      <c r="BO49" s="143"/>
      <c r="BV49" s="137">
        <f>SUM(BV38:BV48)</f>
        <v>35200</v>
      </c>
      <c r="BW49" s="137">
        <f>SUM(BW38:BW48)</f>
        <v>-40285</v>
      </c>
      <c r="BX49" s="172">
        <f>SUM(BX38:BX48)</f>
        <v>-5085</v>
      </c>
      <c r="BZ49" s="141"/>
      <c r="CB49" s="142" t="s">
        <v>71</v>
      </c>
      <c r="CC49" s="143"/>
    </row>
    <row r="50" spans="1:81">
      <c r="E50" s="144"/>
      <c r="L50" s="144"/>
      <c r="P50" s="137"/>
      <c r="Q50" s="137"/>
      <c r="R50" s="194"/>
      <c r="V50" s="137"/>
      <c r="W50" s="137"/>
      <c r="X50" s="144"/>
      <c r="AC50" s="137"/>
      <c r="AD50" s="137"/>
      <c r="AE50" s="144"/>
      <c r="AJ50" s="137"/>
      <c r="AK50" s="137"/>
      <c r="AL50" s="144"/>
      <c r="AN50" s="141"/>
      <c r="AP50" s="143"/>
      <c r="AQ50" s="143"/>
      <c r="AV50" s="137"/>
      <c r="AW50" s="137"/>
      <c r="AX50" s="144"/>
      <c r="AZ50" s="141"/>
      <c r="BB50" s="143"/>
      <c r="BC50" s="143"/>
      <c r="BH50" s="137"/>
      <c r="BI50" s="137"/>
      <c r="BJ50" s="144"/>
      <c r="BL50" s="141"/>
      <c r="BN50" s="143"/>
      <c r="BO50" s="143"/>
      <c r="BV50" s="137"/>
      <c r="BW50" s="137"/>
      <c r="BX50" s="144"/>
      <c r="BZ50" s="141"/>
      <c r="CB50" s="143"/>
      <c r="CC50" s="143"/>
    </row>
    <row r="51" spans="1:81">
      <c r="V51" s="137"/>
      <c r="W51" s="137"/>
      <c r="AC51" s="137"/>
      <c r="AD51" s="137"/>
      <c r="AJ51" s="137"/>
      <c r="AK51" s="137"/>
      <c r="AN51" s="141"/>
      <c r="AP51" s="143"/>
      <c r="AQ51" s="143"/>
      <c r="AV51" s="137"/>
      <c r="AW51" s="137"/>
      <c r="AZ51" s="141"/>
      <c r="BB51" s="143"/>
      <c r="BC51" s="143"/>
      <c r="BH51" s="137"/>
      <c r="BI51" s="137"/>
      <c r="BL51" s="141"/>
      <c r="BN51" s="143"/>
      <c r="BO51" s="143"/>
      <c r="BV51" s="137"/>
      <c r="BW51" s="137"/>
      <c r="BZ51" s="141"/>
      <c r="CB51" s="143"/>
      <c r="CC51" s="143"/>
    </row>
    <row r="52" spans="1:81" ht="20.25">
      <c r="B52" s="145" t="s">
        <v>273</v>
      </c>
      <c r="I52" s="145" t="s">
        <v>274</v>
      </c>
      <c r="O52" s="145" t="s">
        <v>274</v>
      </c>
      <c r="P52" s="137"/>
      <c r="Q52" s="137"/>
      <c r="U52" s="145" t="s">
        <v>275</v>
      </c>
      <c r="V52" s="137"/>
      <c r="W52" s="137"/>
      <c r="Z52" s="139"/>
      <c r="AB52" s="145" t="s">
        <v>276</v>
      </c>
      <c r="AC52" s="137"/>
      <c r="AD52" s="137"/>
      <c r="AI52" s="145" t="s">
        <v>277</v>
      </c>
      <c r="AJ52" s="137"/>
      <c r="AK52" s="137"/>
      <c r="AN52" s="141"/>
      <c r="AP52" s="143"/>
      <c r="AQ52" s="143"/>
      <c r="AU52" s="145" t="s">
        <v>278</v>
      </c>
      <c r="AV52" s="137"/>
      <c r="AW52" s="137"/>
      <c r="AZ52" s="141"/>
      <c r="BB52" s="143"/>
      <c r="BC52" s="143"/>
      <c r="BG52" s="145" t="s">
        <v>279</v>
      </c>
      <c r="BH52" s="137"/>
      <c r="BI52" s="137"/>
      <c r="BL52" s="141"/>
      <c r="BN52" s="143"/>
      <c r="BO52" s="143"/>
      <c r="BU52" s="145" t="s">
        <v>280</v>
      </c>
      <c r="BV52" s="137"/>
      <c r="BW52" s="137"/>
      <c r="BZ52" s="141"/>
      <c r="CB52" s="143"/>
      <c r="CC52" s="143"/>
    </row>
    <row r="53" spans="1:81">
      <c r="P53" s="137"/>
      <c r="Q53" s="137"/>
      <c r="U53" s="136" t="s">
        <v>281</v>
      </c>
      <c r="V53" s="137"/>
      <c r="W53" s="137"/>
      <c r="AB53" s="136" t="s">
        <v>282</v>
      </c>
      <c r="AC53" s="137"/>
      <c r="AD53" s="137"/>
      <c r="AI53" s="136" t="s">
        <v>282</v>
      </c>
      <c r="AJ53" s="137"/>
      <c r="AK53" s="137"/>
      <c r="AN53" s="141"/>
      <c r="AP53" s="143"/>
      <c r="AQ53" s="143"/>
      <c r="AV53" s="137"/>
      <c r="AW53" s="137"/>
      <c r="AZ53" s="141"/>
      <c r="BB53" s="143"/>
      <c r="BC53" s="143"/>
      <c r="BH53" s="137"/>
      <c r="BI53" s="137"/>
      <c r="BL53" s="141"/>
      <c r="BN53" s="143"/>
      <c r="BO53" s="143"/>
      <c r="BV53" s="137"/>
      <c r="BW53" s="137"/>
      <c r="BZ53" s="141"/>
      <c r="CB53" s="143"/>
      <c r="CC53" s="143"/>
    </row>
    <row r="54" spans="1:81" ht="18">
      <c r="A54" s="146" t="s">
        <v>39</v>
      </c>
      <c r="B54" s="147" t="s">
        <v>40</v>
      </c>
      <c r="C54" s="148" t="s">
        <v>41</v>
      </c>
      <c r="D54" s="148" t="s">
        <v>42</v>
      </c>
      <c r="E54" s="146" t="s">
        <v>4</v>
      </c>
      <c r="G54" s="137" t="s">
        <v>283</v>
      </c>
      <c r="H54" s="146" t="s">
        <v>39</v>
      </c>
      <c r="I54" s="147" t="s">
        <v>40</v>
      </c>
      <c r="J54" s="148" t="s">
        <v>41</v>
      </c>
      <c r="K54" s="148" t="s">
        <v>42</v>
      </c>
      <c r="L54" s="146" t="s">
        <v>4</v>
      </c>
      <c r="N54" s="146" t="s">
        <v>39</v>
      </c>
      <c r="O54" s="147" t="s">
        <v>40</v>
      </c>
      <c r="P54" s="148" t="s">
        <v>41</v>
      </c>
      <c r="Q54" s="148" t="s">
        <v>42</v>
      </c>
      <c r="R54" s="149" t="s">
        <v>4</v>
      </c>
      <c r="T54" s="146" t="s">
        <v>39</v>
      </c>
      <c r="U54" s="147" t="s">
        <v>40</v>
      </c>
      <c r="V54" s="148" t="s">
        <v>41</v>
      </c>
      <c r="W54" s="148" t="s">
        <v>42</v>
      </c>
      <c r="X54" s="146" t="s">
        <v>4</v>
      </c>
      <c r="AA54" s="146" t="s">
        <v>39</v>
      </c>
      <c r="AB54" s="147" t="s">
        <v>40</v>
      </c>
      <c r="AC54" s="148" t="s">
        <v>41</v>
      </c>
      <c r="AD54" s="148" t="s">
        <v>42</v>
      </c>
      <c r="AE54" s="146" t="s">
        <v>4</v>
      </c>
      <c r="AH54" s="146" t="s">
        <v>39</v>
      </c>
      <c r="AI54" s="147" t="s">
        <v>40</v>
      </c>
      <c r="AJ54" s="148" t="s">
        <v>41</v>
      </c>
      <c r="AK54" s="148" t="s">
        <v>42</v>
      </c>
      <c r="AL54" s="146" t="s">
        <v>4</v>
      </c>
      <c r="AN54" s="141">
        <v>18000</v>
      </c>
      <c r="AP54" s="142" t="s">
        <v>43</v>
      </c>
      <c r="AQ54" s="150">
        <v>32</v>
      </c>
      <c r="AT54" s="146" t="s">
        <v>39</v>
      </c>
      <c r="AU54" s="147" t="s">
        <v>40</v>
      </c>
      <c r="AV54" s="148" t="s">
        <v>41</v>
      </c>
      <c r="AW54" s="148" t="s">
        <v>42</v>
      </c>
      <c r="AX54" s="146" t="s">
        <v>4</v>
      </c>
      <c r="AZ54" s="141">
        <v>15000</v>
      </c>
      <c r="BB54" s="142" t="s">
        <v>43</v>
      </c>
      <c r="BC54" s="150">
        <v>32</v>
      </c>
      <c r="BF54" s="146" t="s">
        <v>39</v>
      </c>
      <c r="BG54" s="147" t="s">
        <v>40</v>
      </c>
      <c r="BH54" s="148" t="s">
        <v>41</v>
      </c>
      <c r="BI54" s="148" t="s">
        <v>42</v>
      </c>
      <c r="BJ54" s="146" t="s">
        <v>4</v>
      </c>
      <c r="BL54" s="141">
        <v>19000</v>
      </c>
      <c r="BM54" s="136">
        <v>13500</v>
      </c>
      <c r="BN54" s="142" t="s">
        <v>43</v>
      </c>
      <c r="BO54" s="150">
        <v>32</v>
      </c>
      <c r="BT54" s="146" t="s">
        <v>39</v>
      </c>
      <c r="BU54" s="147" t="s">
        <v>40</v>
      </c>
      <c r="BV54" s="148" t="s">
        <v>41</v>
      </c>
      <c r="BW54" s="148" t="s">
        <v>42</v>
      </c>
      <c r="BX54" s="146" t="s">
        <v>4</v>
      </c>
      <c r="BZ54" s="141">
        <v>40000</v>
      </c>
      <c r="CA54" s="136">
        <v>13500</v>
      </c>
      <c r="CB54" s="142" t="s">
        <v>43</v>
      </c>
      <c r="CC54" s="150">
        <v>32</v>
      </c>
    </row>
    <row r="55" spans="1:81">
      <c r="A55" s="151"/>
      <c r="B55" s="152" t="s">
        <v>284</v>
      </c>
      <c r="C55" s="195"/>
      <c r="D55" s="195">
        <v>-12500</v>
      </c>
      <c r="E55" s="155">
        <f>SUM(C55:D55)</f>
        <v>-12500</v>
      </c>
      <c r="G55" s="187">
        <v>-10621</v>
      </c>
      <c r="H55" s="151"/>
      <c r="I55" s="152" t="s">
        <v>246</v>
      </c>
      <c r="J55" s="195"/>
      <c r="K55" s="196">
        <v>-10000</v>
      </c>
      <c r="L55" s="155">
        <f>SUM(J55:K55)</f>
        <v>-10000</v>
      </c>
      <c r="M55" s="136" t="s">
        <v>175</v>
      </c>
      <c r="N55" s="151">
        <v>601</v>
      </c>
      <c r="O55" s="152" t="s">
        <v>246</v>
      </c>
      <c r="P55" s="195"/>
      <c r="Q55" s="197">
        <v>-10000</v>
      </c>
      <c r="R55" s="158">
        <f>SUM(P55:Q55)</f>
        <v>-10000</v>
      </c>
      <c r="T55" s="151">
        <v>601</v>
      </c>
      <c r="U55" s="152" t="s">
        <v>285</v>
      </c>
      <c r="V55" s="195"/>
      <c r="W55" s="197">
        <v>-27000</v>
      </c>
      <c r="X55" s="189">
        <f t="shared" ref="X55:X60" si="18">SUM(V55:W55)</f>
        <v>-27000</v>
      </c>
      <c r="Y55" s="137" t="s">
        <v>286</v>
      </c>
      <c r="AA55" s="151">
        <v>601</v>
      </c>
      <c r="AB55" s="152" t="s">
        <v>287</v>
      </c>
      <c r="AC55" s="195"/>
      <c r="AD55" s="197">
        <v>-12000</v>
      </c>
      <c r="AE55" s="189">
        <f>SUM(AC55:AD55)</f>
        <v>-12000</v>
      </c>
      <c r="AH55" s="151">
        <v>601</v>
      </c>
      <c r="AI55" s="152" t="s">
        <v>287</v>
      </c>
      <c r="AJ55" s="195"/>
      <c r="AK55" s="199">
        <v>-11872</v>
      </c>
      <c r="AL55" s="189">
        <f>SUM(AJ55:AK55)</f>
        <v>-11872</v>
      </c>
      <c r="AN55" s="141"/>
      <c r="AP55" s="143"/>
      <c r="AQ55" s="143"/>
      <c r="AT55" s="151">
        <v>601</v>
      </c>
      <c r="AU55" s="152" t="s">
        <v>288</v>
      </c>
      <c r="AV55" s="195"/>
      <c r="AW55" s="199">
        <v>-12000</v>
      </c>
      <c r="AX55" s="189">
        <f>SUM(AV55:AW55)</f>
        <v>-12000</v>
      </c>
      <c r="AZ55" s="141"/>
      <c r="BB55" s="143"/>
      <c r="BC55" s="143"/>
      <c r="BF55" s="151">
        <v>601</v>
      </c>
      <c r="BG55" s="152" t="s">
        <v>289</v>
      </c>
      <c r="BH55" s="195"/>
      <c r="BI55" s="199">
        <v>-14000</v>
      </c>
      <c r="BJ55" s="189">
        <f>SUM(BH55:BI55)</f>
        <v>-14000</v>
      </c>
      <c r="BL55" s="141"/>
      <c r="BN55" s="143"/>
      <c r="BO55" s="143"/>
      <c r="BT55" s="151">
        <v>601</v>
      </c>
      <c r="BU55" s="162" t="s">
        <v>290</v>
      </c>
      <c r="BV55" s="195"/>
      <c r="BW55" s="199">
        <v>-30000</v>
      </c>
      <c r="BX55" s="189">
        <f>SUM(BV55:BW55)</f>
        <v>-30000</v>
      </c>
      <c r="BZ55" s="141"/>
      <c r="CB55" s="143"/>
      <c r="CC55" s="143"/>
    </row>
    <row r="56" spans="1:81">
      <c r="A56" s="151"/>
      <c r="B56" s="152" t="s">
        <v>291</v>
      </c>
      <c r="C56" s="195"/>
      <c r="D56" s="195">
        <v>-600</v>
      </c>
      <c r="E56" s="155">
        <f>SUM(C56:D56)</f>
        <v>-600</v>
      </c>
      <c r="G56" s="137" t="s">
        <v>248</v>
      </c>
      <c r="H56" s="151"/>
      <c r="I56" s="152" t="s">
        <v>291</v>
      </c>
      <c r="J56" s="195"/>
      <c r="K56" s="195">
        <v>0</v>
      </c>
      <c r="L56" s="155">
        <f>SUM(J56:K56)</f>
        <v>0</v>
      </c>
      <c r="N56" s="151">
        <v>602</v>
      </c>
      <c r="O56" s="152" t="s">
        <v>291</v>
      </c>
      <c r="P56" s="195"/>
      <c r="Q56" s="195">
        <v>0</v>
      </c>
      <c r="R56" s="158">
        <f>SUM(P56:Q56)</f>
        <v>0</v>
      </c>
      <c r="T56" s="151">
        <v>602</v>
      </c>
      <c r="U56" s="152" t="s">
        <v>56</v>
      </c>
      <c r="V56" s="195"/>
      <c r="W56" s="195">
        <v>-1600</v>
      </c>
      <c r="X56" s="189">
        <f t="shared" si="18"/>
        <v>-1600</v>
      </c>
      <c r="AA56" s="151">
        <v>602</v>
      </c>
      <c r="AB56" s="152" t="s">
        <v>56</v>
      </c>
      <c r="AC56" s="195"/>
      <c r="AD56" s="195">
        <v>-1600</v>
      </c>
      <c r="AE56" s="189">
        <f>SUM(AC56:AD56)</f>
        <v>-1600</v>
      </c>
      <c r="AH56" s="151">
        <v>602</v>
      </c>
      <c r="AI56" s="152" t="s">
        <v>56</v>
      </c>
      <c r="AJ56" s="195"/>
      <c r="AK56" s="195">
        <v>-1200</v>
      </c>
      <c r="AL56" s="189">
        <f>SUM(AJ56:AK56)</f>
        <v>-1200</v>
      </c>
      <c r="AN56" s="141"/>
      <c r="AP56" s="143"/>
      <c r="AQ56" s="143"/>
      <c r="AT56" s="151">
        <v>602</v>
      </c>
      <c r="AU56" s="152" t="s">
        <v>56</v>
      </c>
      <c r="AV56" s="195"/>
      <c r="AW56" s="195">
        <v>-1200</v>
      </c>
      <c r="AX56" s="189">
        <f>SUM(AV56:AW56)</f>
        <v>-1200</v>
      </c>
      <c r="AZ56" s="141"/>
      <c r="BB56" s="143"/>
      <c r="BC56" s="143"/>
      <c r="BF56" s="151">
        <v>602</v>
      </c>
      <c r="BG56" s="152" t="s">
        <v>56</v>
      </c>
      <c r="BH56" s="195"/>
      <c r="BI56" s="195">
        <v>-1200</v>
      </c>
      <c r="BJ56" s="189">
        <f>SUM(BH56:BI56)</f>
        <v>-1200</v>
      </c>
      <c r="BL56" s="141"/>
      <c r="BN56" s="143"/>
      <c r="BO56" s="143"/>
      <c r="BT56" s="151">
        <v>602</v>
      </c>
      <c r="BU56" s="152" t="s">
        <v>215</v>
      </c>
      <c r="BV56" s="195"/>
      <c r="BW56" s="195">
        <v>-3000</v>
      </c>
      <c r="BX56" s="189">
        <f>SUM(BV56:BW56)</f>
        <v>-3000</v>
      </c>
      <c r="BZ56" s="141"/>
      <c r="CB56" s="143"/>
      <c r="CC56" s="143"/>
    </row>
    <row r="57" spans="1:81">
      <c r="A57" s="165"/>
      <c r="B57" s="163" t="s">
        <v>292</v>
      </c>
      <c r="C57" s="178"/>
      <c r="D57" s="178">
        <v>-12000</v>
      </c>
      <c r="E57" s="168">
        <f>SUM(C57:D57)</f>
        <v>-12000</v>
      </c>
      <c r="G57" s="137">
        <v>-15095</v>
      </c>
      <c r="H57" s="165"/>
      <c r="I57" s="163" t="s">
        <v>292</v>
      </c>
      <c r="J57" s="178"/>
      <c r="K57" s="178">
        <v>-16000</v>
      </c>
      <c r="L57" s="168">
        <f>SUM(J57:K57)</f>
        <v>-16000</v>
      </c>
      <c r="N57" s="165">
        <v>603</v>
      </c>
      <c r="O57" s="163" t="s">
        <v>292</v>
      </c>
      <c r="P57" s="178"/>
      <c r="Q57" s="178">
        <v>-16000</v>
      </c>
      <c r="R57" s="169">
        <f>SUM(P57:Q57)</f>
        <v>-16000</v>
      </c>
      <c r="T57" s="165">
        <v>603</v>
      </c>
      <c r="U57" s="163" t="s">
        <v>293</v>
      </c>
      <c r="V57" s="178"/>
      <c r="W57" s="178">
        <f>-400*32</f>
        <v>-12800</v>
      </c>
      <c r="X57" s="192">
        <f t="shared" si="18"/>
        <v>-12800</v>
      </c>
      <c r="AA57" s="165">
        <v>603</v>
      </c>
      <c r="AB57" s="163" t="s">
        <v>294</v>
      </c>
      <c r="AC57" s="178"/>
      <c r="AD57" s="178">
        <f>-600*32</f>
        <v>-19200</v>
      </c>
      <c r="AE57" s="192">
        <f>SUM(AC57:AD57)</f>
        <v>-19200</v>
      </c>
      <c r="AH57" s="165">
        <v>603</v>
      </c>
      <c r="AI57" s="163" t="s">
        <v>294</v>
      </c>
      <c r="AJ57" s="178"/>
      <c r="AK57" s="178">
        <f>-600*32</f>
        <v>-19200</v>
      </c>
      <c r="AL57" s="192">
        <f>SUM(AJ57:AK57)</f>
        <v>-19200</v>
      </c>
      <c r="AN57" s="141"/>
      <c r="AP57" s="143"/>
      <c r="AQ57" s="143"/>
      <c r="AT57" s="165">
        <v>603</v>
      </c>
      <c r="AU57" s="163" t="s">
        <v>294</v>
      </c>
      <c r="AV57" s="178"/>
      <c r="AW57" s="178">
        <f>-600*32</f>
        <v>-19200</v>
      </c>
      <c r="AX57" s="192">
        <f>SUM(AV57:AW57)</f>
        <v>-19200</v>
      </c>
      <c r="AZ57" s="141"/>
      <c r="BB57" s="143"/>
      <c r="BC57" s="143"/>
      <c r="BF57" s="165">
        <v>603</v>
      </c>
      <c r="BG57" s="163" t="s">
        <v>295</v>
      </c>
      <c r="BH57" s="178"/>
      <c r="BI57" s="178">
        <f>-800*32</f>
        <v>-25600</v>
      </c>
      <c r="BJ57" s="192">
        <f>SUM(BH57:BI57)</f>
        <v>-25600</v>
      </c>
      <c r="BL57" s="141"/>
      <c r="BN57" s="143"/>
      <c r="BO57" s="143"/>
      <c r="BT57" s="165">
        <v>603</v>
      </c>
      <c r="BU57" s="172" t="s">
        <v>138</v>
      </c>
      <c r="BV57" s="178"/>
      <c r="BW57" s="178">
        <f>-1200*32</f>
        <v>-38400</v>
      </c>
      <c r="BX57" s="192">
        <f>SUM(BV57:BW57)</f>
        <v>-38400</v>
      </c>
      <c r="BZ57" s="141"/>
      <c r="CB57" s="143"/>
      <c r="CC57" s="143"/>
    </row>
    <row r="58" spans="1:81">
      <c r="A58" s="165"/>
      <c r="B58" s="163" t="s">
        <v>296</v>
      </c>
      <c r="C58" s="178"/>
      <c r="D58" s="178">
        <v>-11000</v>
      </c>
      <c r="E58" s="168">
        <f>SUM(C58:D58)</f>
        <v>-11000</v>
      </c>
      <c r="G58" s="137">
        <v>-10200</v>
      </c>
      <c r="H58" s="165"/>
      <c r="I58" s="163" t="s">
        <v>296</v>
      </c>
      <c r="J58" s="178"/>
      <c r="K58" s="178">
        <v>-11000</v>
      </c>
      <c r="L58" s="168">
        <f>SUM(J58:K58)</f>
        <v>-11000</v>
      </c>
      <c r="N58" s="165">
        <v>604</v>
      </c>
      <c r="O58" s="163" t="s">
        <v>296</v>
      </c>
      <c r="P58" s="178"/>
      <c r="Q58" s="178">
        <v>-11000</v>
      </c>
      <c r="R58" s="169">
        <f>SUM(P58:Q58)</f>
        <v>-11000</v>
      </c>
      <c r="T58" s="165">
        <v>604</v>
      </c>
      <c r="U58" s="163" t="s">
        <v>297</v>
      </c>
      <c r="V58" s="178"/>
      <c r="W58" s="178">
        <f>-260*2*32-8000</f>
        <v>-24640</v>
      </c>
      <c r="X58" s="192">
        <f t="shared" si="18"/>
        <v>-24640</v>
      </c>
      <c r="Y58" s="137" t="s">
        <v>298</v>
      </c>
      <c r="AA58" s="165">
        <v>604</v>
      </c>
      <c r="AB58" s="163" t="s">
        <v>299</v>
      </c>
      <c r="AC58" s="178"/>
      <c r="AD58" s="178">
        <f>-600*4</f>
        <v>-2400</v>
      </c>
      <c r="AE58" s="192">
        <f>SUM(AC58:AD58)</f>
        <v>-2400</v>
      </c>
      <c r="AH58" s="165">
        <v>604</v>
      </c>
      <c r="AI58" s="163" t="s">
        <v>299</v>
      </c>
      <c r="AJ58" s="178"/>
      <c r="AK58" s="178">
        <f>-600*4</f>
        <v>-2400</v>
      </c>
      <c r="AL58" s="192">
        <f>SUM(AJ58:AK58)</f>
        <v>-2400</v>
      </c>
      <c r="AN58" s="141"/>
      <c r="AP58" s="143"/>
      <c r="AQ58" s="143"/>
      <c r="AT58" s="165">
        <v>604</v>
      </c>
      <c r="AU58" s="163" t="s">
        <v>299</v>
      </c>
      <c r="AV58" s="178"/>
      <c r="AW58" s="178">
        <f>-600*4</f>
        <v>-2400</v>
      </c>
      <c r="AX58" s="192">
        <f>SUM(AV58:AW58)</f>
        <v>-2400</v>
      </c>
      <c r="AZ58" s="141"/>
      <c r="BB58" s="143"/>
      <c r="BC58" s="143"/>
      <c r="BF58" s="165">
        <v>604</v>
      </c>
      <c r="BG58" s="163" t="s">
        <v>300</v>
      </c>
      <c r="BH58" s="178"/>
      <c r="BI58" s="178">
        <f>-800*4</f>
        <v>-3200</v>
      </c>
      <c r="BJ58" s="192">
        <f>SUM(BH58:BI58)</f>
        <v>-3200</v>
      </c>
      <c r="BL58" s="141"/>
      <c r="BN58" s="143"/>
      <c r="BO58" s="143"/>
      <c r="BT58" s="165">
        <v>604</v>
      </c>
      <c r="BU58" s="172" t="s">
        <v>139</v>
      </c>
      <c r="BV58" s="178"/>
      <c r="BW58" s="178">
        <f>-1200*4</f>
        <v>-4800</v>
      </c>
      <c r="BX58" s="192">
        <f>SUM(BV58:BW58)</f>
        <v>-4800</v>
      </c>
      <c r="BZ58" s="141"/>
      <c r="CB58" s="143"/>
      <c r="CC58" s="143"/>
    </row>
    <row r="59" spans="1:81">
      <c r="A59" s="165"/>
      <c r="B59" s="163"/>
      <c r="C59" s="178"/>
      <c r="D59" s="178"/>
      <c r="E59" s="168"/>
      <c r="H59" s="165"/>
      <c r="I59" s="163"/>
      <c r="J59" s="178"/>
      <c r="K59" s="178"/>
      <c r="L59" s="168"/>
      <c r="N59" s="165"/>
      <c r="O59" s="163"/>
      <c r="P59" s="178"/>
      <c r="Q59" s="178"/>
      <c r="R59" s="169"/>
      <c r="T59" s="165">
        <v>605</v>
      </c>
      <c r="U59" s="163" t="s">
        <v>301</v>
      </c>
      <c r="V59" s="178"/>
      <c r="W59" s="178">
        <f>-650*4</f>
        <v>-2600</v>
      </c>
      <c r="X59" s="192">
        <f t="shared" si="18"/>
        <v>-2600</v>
      </c>
      <c r="AA59" s="165">
        <v>605</v>
      </c>
      <c r="AB59" s="163" t="s">
        <v>77</v>
      </c>
      <c r="AC59" s="178"/>
      <c r="AD59" s="178">
        <f>-610*32</f>
        <v>-19520</v>
      </c>
      <c r="AE59" s="192">
        <f>AD59</f>
        <v>-19520</v>
      </c>
      <c r="AH59" s="165">
        <v>605</v>
      </c>
      <c r="AI59" s="163" t="s">
        <v>77</v>
      </c>
      <c r="AJ59" s="178"/>
      <c r="AK59" s="178">
        <f>-610*32</f>
        <v>-19520</v>
      </c>
      <c r="AL59" s="192">
        <f>AK59</f>
        <v>-19520</v>
      </c>
      <c r="AN59" s="141"/>
      <c r="AP59" s="143"/>
      <c r="AQ59" s="143"/>
      <c r="AT59" s="165">
        <v>605</v>
      </c>
      <c r="AU59" s="163" t="s">
        <v>77</v>
      </c>
      <c r="AV59" s="178"/>
      <c r="AW59" s="178">
        <f>-610*32</f>
        <v>-19520</v>
      </c>
      <c r="AX59" s="192">
        <f>AW59</f>
        <v>-19520</v>
      </c>
      <c r="AZ59" s="141"/>
      <c r="BB59" s="143"/>
      <c r="BC59" s="143"/>
      <c r="BF59" s="165">
        <v>605</v>
      </c>
      <c r="BG59" s="163" t="s">
        <v>77</v>
      </c>
      <c r="BH59" s="178"/>
      <c r="BI59" s="178">
        <f>-610*BO54</f>
        <v>-19520</v>
      </c>
      <c r="BJ59" s="192">
        <f>BI59</f>
        <v>-19520</v>
      </c>
      <c r="BL59" s="141"/>
      <c r="BN59" s="143"/>
      <c r="BO59" s="143"/>
      <c r="BT59" s="165">
        <v>605</v>
      </c>
      <c r="BU59" s="163" t="s">
        <v>77</v>
      </c>
      <c r="BV59" s="178"/>
      <c r="BW59" s="178">
        <f>-610*CC54</f>
        <v>-19520</v>
      </c>
      <c r="BX59" s="192">
        <f>BW59</f>
        <v>-19520</v>
      </c>
      <c r="BZ59" s="141"/>
      <c r="CB59" s="143"/>
      <c r="CC59" s="143"/>
    </row>
    <row r="60" spans="1:81">
      <c r="A60" s="165"/>
      <c r="B60" s="163" t="s">
        <v>302</v>
      </c>
      <c r="C60" s="178">
        <v>18000</v>
      </c>
      <c r="D60" s="178"/>
      <c r="E60" s="168">
        <f>SUM(C60:D60)</f>
        <v>18000</v>
      </c>
      <c r="G60" s="174">
        <f>950*21</f>
        <v>19950</v>
      </c>
      <c r="H60" s="165"/>
      <c r="I60" s="163" t="s">
        <v>303</v>
      </c>
      <c r="J60" s="178">
        <v>20000</v>
      </c>
      <c r="K60" s="178"/>
      <c r="L60" s="168">
        <f>SUM(J60:K60)</f>
        <v>20000</v>
      </c>
      <c r="N60" s="165">
        <v>605</v>
      </c>
      <c r="O60" s="163" t="s">
        <v>303</v>
      </c>
      <c r="P60" s="178">
        <v>20000</v>
      </c>
      <c r="Q60" s="178"/>
      <c r="R60" s="169">
        <f>SUM(P60:Q60)</f>
        <v>20000</v>
      </c>
      <c r="T60" s="201">
        <v>606</v>
      </c>
      <c r="U60" s="163" t="s">
        <v>304</v>
      </c>
      <c r="V60" s="208">
        <f>32*1000</f>
        <v>32000</v>
      </c>
      <c r="W60" s="178"/>
      <c r="X60" s="192">
        <f t="shared" si="18"/>
        <v>32000</v>
      </c>
      <c r="AA60" s="201">
        <v>606</v>
      </c>
      <c r="AB60" s="163" t="s">
        <v>78</v>
      </c>
      <c r="AC60" s="178"/>
      <c r="AD60" s="178">
        <f>-1000*8</f>
        <v>-8000</v>
      </c>
      <c r="AE60" s="192">
        <f>AD60</f>
        <v>-8000</v>
      </c>
      <c r="AH60" s="201">
        <v>606</v>
      </c>
      <c r="AI60" s="163" t="s">
        <v>78</v>
      </c>
      <c r="AJ60" s="178"/>
      <c r="AK60" s="178">
        <f>-1000*8</f>
        <v>-8000</v>
      </c>
      <c r="AL60" s="192">
        <f>AK60</f>
        <v>-8000</v>
      </c>
      <c r="AN60" s="141"/>
      <c r="AP60" s="143"/>
      <c r="AQ60" s="143"/>
      <c r="AT60" s="201">
        <v>606</v>
      </c>
      <c r="AU60" s="163" t="s">
        <v>78</v>
      </c>
      <c r="AV60" s="178"/>
      <c r="AW60" s="178">
        <f>-1000*8</f>
        <v>-8000</v>
      </c>
      <c r="AX60" s="192">
        <f>AW60</f>
        <v>-8000</v>
      </c>
      <c r="AZ60" s="141"/>
      <c r="BB60" s="143"/>
      <c r="BC60" s="143"/>
      <c r="BF60" s="201">
        <v>606</v>
      </c>
      <c r="BG60" s="163" t="s">
        <v>78</v>
      </c>
      <c r="BH60" s="178"/>
      <c r="BI60" s="178">
        <f>-1000*8</f>
        <v>-8000</v>
      </c>
      <c r="BJ60" s="192">
        <f>BI60</f>
        <v>-8000</v>
      </c>
      <c r="BL60" s="141"/>
      <c r="BN60" s="143"/>
      <c r="BO60" s="143"/>
      <c r="BT60" s="201">
        <v>606</v>
      </c>
      <c r="BU60" s="163" t="s">
        <v>78</v>
      </c>
      <c r="BV60" s="178"/>
      <c r="BW60" s="178">
        <f>-1000*8</f>
        <v>-8000</v>
      </c>
      <c r="BX60" s="192">
        <f>BW60</f>
        <v>-8000</v>
      </c>
      <c r="BZ60" s="141"/>
      <c r="CB60" s="143"/>
      <c r="CC60" s="143"/>
    </row>
    <row r="61" spans="1:81">
      <c r="A61" s="201"/>
      <c r="B61" s="209" t="s">
        <v>305</v>
      </c>
      <c r="C61" s="203"/>
      <c r="D61" s="203"/>
      <c r="E61" s="204"/>
      <c r="G61" s="137">
        <v>-590</v>
      </c>
      <c r="H61" s="201"/>
      <c r="I61" s="202"/>
      <c r="J61" s="203"/>
      <c r="K61" s="203"/>
      <c r="L61" s="204"/>
      <c r="N61" s="201"/>
      <c r="O61" s="202"/>
      <c r="P61" s="203"/>
      <c r="Q61" s="203"/>
      <c r="R61" s="205"/>
      <c r="T61" s="201">
        <v>607</v>
      </c>
      <c r="U61" s="206" t="s">
        <v>81</v>
      </c>
      <c r="V61" s="203">
        <v>0</v>
      </c>
      <c r="W61" s="203"/>
      <c r="X61" s="179">
        <v>0</v>
      </c>
      <c r="AA61" s="201">
        <v>607</v>
      </c>
      <c r="AB61" s="163" t="s">
        <v>79</v>
      </c>
      <c r="AC61" s="178"/>
      <c r="AD61" s="178">
        <f>-390*4</f>
        <v>-1560</v>
      </c>
      <c r="AE61" s="192">
        <f>SUM(AC61:AD61)</f>
        <v>-1560</v>
      </c>
      <c r="AH61" s="201">
        <v>607</v>
      </c>
      <c r="AI61" s="163" t="s">
        <v>79</v>
      </c>
      <c r="AJ61" s="178"/>
      <c r="AK61" s="178">
        <f>-390*4</f>
        <v>-1560</v>
      </c>
      <c r="AL61" s="192">
        <f>SUM(AJ61:AK61)</f>
        <v>-1560</v>
      </c>
      <c r="AN61" s="141"/>
      <c r="AP61" s="143"/>
      <c r="AQ61" s="143"/>
      <c r="AT61" s="201">
        <v>607</v>
      </c>
      <c r="AU61" s="163" t="s">
        <v>79</v>
      </c>
      <c r="AV61" s="178"/>
      <c r="AW61" s="178">
        <f>-390*4</f>
        <v>-1560</v>
      </c>
      <c r="AX61" s="192">
        <f>SUM(AV61:AW61)</f>
        <v>-1560</v>
      </c>
      <c r="AZ61" s="141"/>
      <c r="BB61" s="143"/>
      <c r="BC61" s="143"/>
      <c r="BF61" s="201">
        <v>607</v>
      </c>
      <c r="BG61" s="163" t="s">
        <v>79</v>
      </c>
      <c r="BH61" s="178"/>
      <c r="BI61" s="178">
        <f>-390*4</f>
        <v>-1560</v>
      </c>
      <c r="BJ61" s="192">
        <f>SUM(BH61:BI61)</f>
        <v>-1560</v>
      </c>
      <c r="BL61" s="141"/>
      <c r="BN61" s="143"/>
      <c r="BO61" s="143"/>
      <c r="BT61" s="201">
        <v>607</v>
      </c>
      <c r="BU61" s="163" t="s">
        <v>79</v>
      </c>
      <c r="BV61" s="178"/>
      <c r="BW61" s="178">
        <f>-390*4</f>
        <v>-1560</v>
      </c>
      <c r="BX61" s="192">
        <f>SUM(BV61:BW61)</f>
        <v>-1560</v>
      </c>
      <c r="BZ61" s="141"/>
      <c r="CB61" s="143"/>
      <c r="CC61" s="143"/>
    </row>
    <row r="62" spans="1:81">
      <c r="A62" s="201"/>
      <c r="B62" s="202" t="s">
        <v>306</v>
      </c>
      <c r="C62" s="203"/>
      <c r="D62" s="203"/>
      <c r="E62" s="204"/>
      <c r="H62" s="201"/>
      <c r="I62" s="202"/>
      <c r="J62" s="203"/>
      <c r="K62" s="203"/>
      <c r="L62" s="204"/>
      <c r="N62" s="201"/>
      <c r="O62" s="202"/>
      <c r="P62" s="203"/>
      <c r="Q62" s="203"/>
      <c r="R62" s="205"/>
      <c r="T62" s="201">
        <v>608</v>
      </c>
      <c r="U62" s="206" t="s">
        <v>307</v>
      </c>
      <c r="V62" s="207" t="s">
        <v>92</v>
      </c>
      <c r="W62" s="203"/>
      <c r="X62" s="179"/>
      <c r="AA62" s="201">
        <v>608</v>
      </c>
      <c r="AB62" s="163" t="s">
        <v>308</v>
      </c>
      <c r="AC62" s="208">
        <f>32*1600</f>
        <v>51200</v>
      </c>
      <c r="AD62" s="178"/>
      <c r="AE62" s="192">
        <f>SUM(AC62:AD62)</f>
        <v>51200</v>
      </c>
      <c r="AH62" s="201">
        <v>608</v>
      </c>
      <c r="AI62" s="163" t="s">
        <v>140</v>
      </c>
      <c r="AJ62" s="208">
        <f>AQ54*AQ66</f>
        <v>45752</v>
      </c>
      <c r="AK62" s="178"/>
      <c r="AL62" s="192">
        <f>SUM(AJ62:AK62)</f>
        <v>45752</v>
      </c>
      <c r="AN62" s="141"/>
      <c r="AP62" s="143"/>
      <c r="AQ62" s="143"/>
      <c r="AT62" s="201">
        <v>608</v>
      </c>
      <c r="AU62" s="163" t="s">
        <v>140</v>
      </c>
      <c r="AV62" s="208">
        <f>BC54*BC66</f>
        <v>48880</v>
      </c>
      <c r="AW62" s="178"/>
      <c r="AX62" s="192">
        <f>SUM(AV62:AW62)</f>
        <v>48880</v>
      </c>
      <c r="AZ62" s="141"/>
      <c r="BB62" s="143"/>
      <c r="BC62" s="143"/>
      <c r="BF62" s="201">
        <v>608</v>
      </c>
      <c r="BG62" s="163" t="s">
        <v>140</v>
      </c>
      <c r="BH62" s="208">
        <f>BO54*BP66</f>
        <v>56000</v>
      </c>
      <c r="BI62" s="178"/>
      <c r="BJ62" s="192">
        <f>SUM(BH62:BI62)</f>
        <v>56000</v>
      </c>
      <c r="BL62" s="141"/>
      <c r="BN62" s="143"/>
      <c r="BO62" s="143"/>
      <c r="BT62" s="201">
        <v>608</v>
      </c>
      <c r="BU62" s="172" t="s">
        <v>309</v>
      </c>
      <c r="BV62" s="208">
        <f>CC54*CD66</f>
        <v>67200</v>
      </c>
      <c r="BW62" s="178"/>
      <c r="BX62" s="192">
        <f>SUM(BV62:BW62)</f>
        <v>67200</v>
      </c>
      <c r="BZ62" s="141"/>
      <c r="CB62" s="143"/>
      <c r="CC62" s="143"/>
    </row>
    <row r="63" spans="1:81">
      <c r="A63" s="201"/>
      <c r="B63" s="202"/>
      <c r="C63" s="203"/>
      <c r="D63" s="203"/>
      <c r="E63" s="204"/>
      <c r="H63" s="201"/>
      <c r="I63" s="202"/>
      <c r="J63" s="203"/>
      <c r="K63" s="203"/>
      <c r="L63" s="204"/>
      <c r="N63" s="201"/>
      <c r="O63" s="202"/>
      <c r="P63" s="203"/>
      <c r="Q63" s="203"/>
      <c r="R63" s="205"/>
      <c r="T63" s="201">
        <v>609</v>
      </c>
      <c r="U63" s="206" t="s">
        <v>310</v>
      </c>
      <c r="V63" s="207" t="s">
        <v>92</v>
      </c>
      <c r="W63" s="203"/>
      <c r="X63" s="179"/>
      <c r="Y63" s="137" t="s">
        <v>311</v>
      </c>
      <c r="AA63" s="201">
        <v>609</v>
      </c>
      <c r="AB63" s="206"/>
      <c r="AC63" s="203"/>
      <c r="AD63" s="203"/>
      <c r="AE63" s="179"/>
      <c r="AH63" s="201">
        <v>609</v>
      </c>
      <c r="AI63" s="206"/>
      <c r="AJ63" s="203"/>
      <c r="AK63" s="203"/>
      <c r="AL63" s="179"/>
      <c r="AN63" s="141"/>
      <c r="AP63" s="143"/>
      <c r="AQ63" s="143"/>
      <c r="AT63" s="201">
        <v>609</v>
      </c>
      <c r="AU63" s="206"/>
      <c r="AV63" s="203"/>
      <c r="AW63" s="203"/>
      <c r="AX63" s="179"/>
      <c r="AZ63" s="141"/>
      <c r="BB63" s="143"/>
      <c r="BC63" s="143"/>
      <c r="BF63" s="201">
        <v>609</v>
      </c>
      <c r="BG63" s="206" t="s">
        <v>81</v>
      </c>
      <c r="BH63" s="203">
        <v>0</v>
      </c>
      <c r="BI63" s="203"/>
      <c r="BJ63" s="179"/>
      <c r="BL63" s="141"/>
      <c r="BN63" s="143"/>
      <c r="BO63" s="143"/>
      <c r="BT63" s="201">
        <v>609</v>
      </c>
      <c r="BU63" s="206" t="s">
        <v>81</v>
      </c>
      <c r="BV63" s="203">
        <v>0</v>
      </c>
      <c r="BW63" s="203"/>
      <c r="BX63" s="179"/>
      <c r="BZ63" s="141"/>
      <c r="CB63" s="143"/>
      <c r="CC63" s="143"/>
    </row>
    <row r="64" spans="1:81">
      <c r="A64" s="165"/>
      <c r="B64" s="172" t="s">
        <v>312</v>
      </c>
      <c r="C64" s="178"/>
      <c r="D64" s="178"/>
      <c r="E64" s="168">
        <f>SUM(C64:D64)</f>
        <v>0</v>
      </c>
      <c r="H64" s="165"/>
      <c r="I64" s="172"/>
      <c r="J64" s="178"/>
      <c r="K64" s="178"/>
      <c r="L64" s="168">
        <f>SUM(J64:K64)</f>
        <v>0</v>
      </c>
      <c r="N64" s="165"/>
      <c r="O64" s="172"/>
      <c r="P64" s="178"/>
      <c r="Q64" s="178"/>
      <c r="R64" s="169">
        <f>SUM(P64:Q64)</f>
        <v>0</v>
      </c>
      <c r="T64" s="165"/>
      <c r="U64" s="172"/>
      <c r="V64" s="178"/>
      <c r="W64" s="178"/>
      <c r="X64" s="192">
        <f>SUM(V64:W64)</f>
        <v>0</v>
      </c>
      <c r="AA64" s="201">
        <v>610</v>
      </c>
      <c r="AB64" s="206"/>
      <c r="AC64" s="207"/>
      <c r="AD64" s="203"/>
      <c r="AE64" s="179"/>
      <c r="AH64" s="201">
        <v>610</v>
      </c>
      <c r="AI64" s="206"/>
      <c r="AJ64" s="207"/>
      <c r="AK64" s="203"/>
      <c r="AL64" s="179"/>
      <c r="AN64" s="141"/>
      <c r="AP64" s="143"/>
      <c r="AQ64" s="143"/>
      <c r="AT64" s="201">
        <v>610</v>
      </c>
      <c r="AU64" s="206"/>
      <c r="AV64" s="207"/>
      <c r="AW64" s="203"/>
      <c r="AX64" s="179"/>
      <c r="AZ64" s="141"/>
      <c r="BB64" s="143"/>
      <c r="BC64" s="143"/>
      <c r="BF64" s="201">
        <v>610</v>
      </c>
      <c r="BG64" s="206"/>
      <c r="BH64" s="207"/>
      <c r="BI64" s="203"/>
      <c r="BJ64" s="179"/>
      <c r="BL64" s="141"/>
      <c r="BN64" s="143"/>
      <c r="BO64" s="143"/>
      <c r="BT64" s="201">
        <v>610</v>
      </c>
      <c r="BU64" s="206"/>
      <c r="BV64" s="207"/>
      <c r="BW64" s="203"/>
      <c r="BX64" s="179"/>
      <c r="BZ64" s="141"/>
      <c r="CB64" s="143"/>
      <c r="CC64" s="143"/>
    </row>
    <row r="65" spans="1:84">
      <c r="E65" s="172">
        <f>SUM(E55:E64)</f>
        <v>-18100</v>
      </c>
      <c r="F65" s="137">
        <v>-15000</v>
      </c>
      <c r="G65" s="137">
        <f>SUM(G55:G64)</f>
        <v>-16556</v>
      </c>
      <c r="L65" s="172">
        <f>SUM(L55:L64)</f>
        <v>-17000</v>
      </c>
      <c r="P65" s="137"/>
      <c r="Q65" s="137"/>
      <c r="R65" s="193">
        <f>SUM(R55:R64)</f>
        <v>-17000</v>
      </c>
      <c r="U65" s="181" t="s">
        <v>313</v>
      </c>
      <c r="V65" s="137"/>
      <c r="W65" s="137"/>
      <c r="X65" s="172">
        <f>SUM(X55:X64)</f>
        <v>-36640</v>
      </c>
      <c r="AA65" s="201">
        <v>611</v>
      </c>
      <c r="AB65" s="206"/>
      <c r="AC65" s="207"/>
      <c r="AD65" s="203"/>
      <c r="AE65" s="179"/>
      <c r="AH65" s="201">
        <v>611</v>
      </c>
      <c r="AI65" s="206"/>
      <c r="AJ65" s="207"/>
      <c r="AK65" s="203"/>
      <c r="AL65" s="179"/>
      <c r="AN65" s="141"/>
      <c r="AP65" s="143"/>
      <c r="AQ65" s="143"/>
      <c r="AT65" s="201">
        <v>611</v>
      </c>
      <c r="AU65" s="206"/>
      <c r="AV65" s="207"/>
      <c r="AW65" s="203"/>
      <c r="AX65" s="179"/>
      <c r="AZ65" s="141"/>
      <c r="BB65" s="143"/>
      <c r="BC65" s="143"/>
      <c r="BF65" s="201">
        <v>611</v>
      </c>
      <c r="BG65" s="206"/>
      <c r="BH65" s="207"/>
      <c r="BI65" s="203"/>
      <c r="BJ65" s="179"/>
      <c r="BL65" s="141"/>
      <c r="BN65" s="143"/>
      <c r="BO65" s="143"/>
      <c r="BT65" s="201">
        <v>611</v>
      </c>
      <c r="BU65" s="206"/>
      <c r="BV65" s="207"/>
      <c r="BW65" s="203"/>
      <c r="BX65" s="179"/>
      <c r="BZ65" s="141"/>
      <c r="CB65" s="143"/>
      <c r="CC65" s="143"/>
    </row>
    <row r="66" spans="1:84" ht="15" customHeight="1">
      <c r="U66" s="181" t="s">
        <v>314</v>
      </c>
      <c r="V66" s="137"/>
      <c r="W66" s="137"/>
      <c r="AA66" s="165"/>
      <c r="AB66" s="172"/>
      <c r="AC66" s="178"/>
      <c r="AD66" s="178"/>
      <c r="AE66" s="192"/>
      <c r="AH66" s="165"/>
      <c r="AI66" s="172"/>
      <c r="AJ66" s="178"/>
      <c r="AK66" s="178"/>
      <c r="AL66" s="192"/>
      <c r="AN66" s="141"/>
      <c r="AP66" s="142" t="s">
        <v>52</v>
      </c>
      <c r="AQ66" s="180">
        <f>(ABS(SUM(AK55:AK66))-AN54)/AQ54</f>
        <v>1429.75</v>
      </c>
      <c r="AT66" s="165"/>
      <c r="AU66" s="172"/>
      <c r="AV66" s="178"/>
      <c r="AW66" s="178"/>
      <c r="AX66" s="192"/>
      <c r="AZ66" s="141"/>
      <c r="BB66" s="142" t="s">
        <v>52</v>
      </c>
      <c r="BC66" s="180">
        <f>(ABS(SUM(AW55:AW66))-AZ54)/BC54</f>
        <v>1527.5</v>
      </c>
      <c r="BF66" s="165"/>
      <c r="BG66" s="172" t="s">
        <v>82</v>
      </c>
      <c r="BH66" s="178"/>
      <c r="BI66" s="178">
        <v>-2000</v>
      </c>
      <c r="BJ66" s="192">
        <f>SUM(BH66:BI66)</f>
        <v>-2000</v>
      </c>
      <c r="BL66" s="141"/>
      <c r="BN66" s="142" t="s">
        <v>52</v>
      </c>
      <c r="BO66" s="180">
        <f>(ABS(SUM(BI55:BI66))-BL54)/BO54</f>
        <v>1752.5</v>
      </c>
      <c r="BP66" s="136">
        <v>1750</v>
      </c>
      <c r="BT66" s="165"/>
      <c r="BU66" s="172" t="s">
        <v>82</v>
      </c>
      <c r="BV66" s="178"/>
      <c r="BW66" s="178">
        <v>-2000</v>
      </c>
      <c r="BX66" s="192">
        <f>SUM(BV66:BW66)</f>
        <v>-2000</v>
      </c>
      <c r="BZ66" s="141"/>
      <c r="CB66" s="142" t="s">
        <v>52</v>
      </c>
      <c r="CC66" s="180">
        <f>(ABS(SUM(BW55:BW66))-BZ54)/CC54</f>
        <v>2102.5</v>
      </c>
      <c r="CD66" s="136">
        <v>2100</v>
      </c>
      <c r="CF66" s="136">
        <f>BX67+BZ54</f>
        <v>-80</v>
      </c>
    </row>
    <row r="67" spans="1:84" ht="15" customHeight="1">
      <c r="U67" s="181"/>
      <c r="V67" s="137"/>
      <c r="W67" s="137"/>
      <c r="AB67" s="181" t="s">
        <v>83</v>
      </c>
      <c r="AC67" s="137"/>
      <c r="AD67" s="137"/>
      <c r="AE67" s="172">
        <f>SUM(AE55:AE66)</f>
        <v>-13080</v>
      </c>
      <c r="AI67" s="181" t="s">
        <v>83</v>
      </c>
      <c r="AJ67" s="137"/>
      <c r="AK67" s="137"/>
      <c r="AL67" s="172">
        <f>SUM(AL55:AL66)</f>
        <v>-18000</v>
      </c>
      <c r="AN67" s="141"/>
      <c r="AP67" s="142" t="s">
        <v>71</v>
      </c>
      <c r="AQ67" s="143"/>
      <c r="AU67" s="181" t="s">
        <v>83</v>
      </c>
      <c r="AV67" s="137"/>
      <c r="AW67" s="137"/>
      <c r="AX67" s="172">
        <f>SUM(AX55:AX66)</f>
        <v>-15000</v>
      </c>
      <c r="AZ67" s="141"/>
      <c r="BB67" s="142" t="s">
        <v>71</v>
      </c>
      <c r="BC67" s="143"/>
      <c r="BG67" s="181" t="s">
        <v>83</v>
      </c>
      <c r="BH67" s="137">
        <f>SUM(BH55:BH66)</f>
        <v>56000</v>
      </c>
      <c r="BI67" s="137">
        <f>SUM(BI55:BI66)</f>
        <v>-75080</v>
      </c>
      <c r="BJ67" s="172">
        <f>SUM(BJ55:BJ66)</f>
        <v>-19080</v>
      </c>
      <c r="BL67" s="141"/>
      <c r="BN67" s="142" t="s">
        <v>71</v>
      </c>
      <c r="BO67" s="143"/>
      <c r="BU67" s="181" t="s">
        <v>83</v>
      </c>
      <c r="BV67" s="137">
        <f>SUM(BV55:BV66)</f>
        <v>67200</v>
      </c>
      <c r="BW67" s="137">
        <f>SUM(BW55:BW66)</f>
        <v>-107280</v>
      </c>
      <c r="BX67" s="172">
        <f>SUM(BX55:BX66)</f>
        <v>-40080</v>
      </c>
      <c r="BZ67" s="141"/>
      <c r="CB67" s="142" t="s">
        <v>71</v>
      </c>
      <c r="CC67" s="143"/>
    </row>
    <row r="68" spans="1:84" ht="15" customHeight="1">
      <c r="U68" s="181"/>
      <c r="V68" s="137"/>
      <c r="W68" s="137"/>
      <c r="AB68" s="181"/>
      <c r="AC68" s="137"/>
      <c r="AD68" s="137"/>
      <c r="AI68" s="181"/>
      <c r="AJ68" s="137"/>
      <c r="AK68" s="137"/>
      <c r="AN68" s="141"/>
      <c r="AP68" s="143"/>
      <c r="AQ68" s="143"/>
      <c r="AU68" s="181"/>
      <c r="AV68" s="137"/>
      <c r="AW68" s="137"/>
      <c r="AZ68" s="141"/>
      <c r="BB68" s="143"/>
      <c r="BC68" s="143"/>
      <c r="BG68" s="181"/>
      <c r="BH68" s="137"/>
      <c r="BI68" s="137"/>
      <c r="BL68" s="141"/>
      <c r="BN68" s="143"/>
      <c r="BO68" s="143"/>
      <c r="BU68" s="181"/>
      <c r="BV68" s="137"/>
      <c r="BW68" s="137"/>
      <c r="BZ68" s="141"/>
      <c r="CB68" s="143"/>
      <c r="CC68" s="143"/>
    </row>
    <row r="69" spans="1:84" ht="20.25">
      <c r="B69" s="145" t="s">
        <v>315</v>
      </c>
      <c r="I69" s="145" t="s">
        <v>315</v>
      </c>
      <c r="O69" s="145" t="s">
        <v>315</v>
      </c>
      <c r="P69" s="137"/>
      <c r="Q69" s="137"/>
      <c r="U69" s="145" t="s">
        <v>316</v>
      </c>
      <c r="V69" s="137"/>
      <c r="W69" s="137"/>
      <c r="AC69" s="137"/>
      <c r="AD69" s="137"/>
      <c r="AJ69" s="137"/>
      <c r="AK69" s="137"/>
      <c r="AN69" s="141"/>
      <c r="AP69" s="143"/>
      <c r="AQ69" s="143"/>
      <c r="AV69" s="137"/>
      <c r="AW69" s="137"/>
      <c r="AZ69" s="141"/>
      <c r="BB69" s="143"/>
      <c r="BC69" s="143"/>
      <c r="BH69" s="137"/>
      <c r="BI69" s="137"/>
      <c r="BL69" s="141"/>
      <c r="BN69" s="143"/>
      <c r="BO69" s="143"/>
      <c r="BV69" s="137"/>
      <c r="BW69" s="137"/>
      <c r="BZ69" s="141"/>
      <c r="CB69" s="143"/>
      <c r="CC69" s="143"/>
    </row>
    <row r="70" spans="1:84">
      <c r="P70" s="137"/>
      <c r="Q70" s="137"/>
      <c r="V70" s="137"/>
      <c r="W70" s="137"/>
      <c r="AB70" s="181"/>
      <c r="AC70" s="137"/>
      <c r="AD70" s="137"/>
      <c r="AI70" s="181"/>
      <c r="AJ70" s="137"/>
      <c r="AK70" s="137"/>
      <c r="AN70" s="141"/>
      <c r="AP70" s="143"/>
      <c r="AQ70" s="143"/>
      <c r="AU70" s="181"/>
      <c r="AV70" s="137"/>
      <c r="AW70" s="137"/>
      <c r="AZ70" s="141"/>
      <c r="BB70" s="143"/>
      <c r="BC70" s="143"/>
      <c r="BG70" s="181"/>
      <c r="BH70" s="137"/>
      <c r="BI70" s="137"/>
      <c r="BL70" s="141"/>
      <c r="BN70" s="143"/>
      <c r="BO70" s="143"/>
      <c r="BU70" s="181"/>
      <c r="BV70" s="137"/>
      <c r="BW70" s="137"/>
      <c r="BZ70" s="141"/>
      <c r="CB70" s="143"/>
      <c r="CC70" s="143"/>
    </row>
    <row r="71" spans="1:84" ht="20.25">
      <c r="A71" s="146" t="s">
        <v>39</v>
      </c>
      <c r="B71" s="147" t="s">
        <v>40</v>
      </c>
      <c r="C71" s="148" t="s">
        <v>41</v>
      </c>
      <c r="D71" s="148" t="s">
        <v>42</v>
      </c>
      <c r="E71" s="146" t="s">
        <v>4</v>
      </c>
      <c r="H71" s="146" t="s">
        <v>39</v>
      </c>
      <c r="I71" s="147" t="s">
        <v>40</v>
      </c>
      <c r="J71" s="148" t="s">
        <v>41</v>
      </c>
      <c r="K71" s="148" t="s">
        <v>42</v>
      </c>
      <c r="L71" s="146" t="s">
        <v>4</v>
      </c>
      <c r="N71" s="146" t="s">
        <v>39</v>
      </c>
      <c r="O71" s="147" t="s">
        <v>40</v>
      </c>
      <c r="P71" s="148" t="s">
        <v>41</v>
      </c>
      <c r="Q71" s="148" t="s">
        <v>42</v>
      </c>
      <c r="R71" s="149" t="s">
        <v>4</v>
      </c>
      <c r="T71" s="146" t="s">
        <v>39</v>
      </c>
      <c r="U71" s="147" t="s">
        <v>40</v>
      </c>
      <c r="V71" s="148" t="s">
        <v>41</v>
      </c>
      <c r="W71" s="148" t="s">
        <v>42</v>
      </c>
      <c r="X71" s="146" t="s">
        <v>4</v>
      </c>
      <c r="AB71" s="145" t="s">
        <v>317</v>
      </c>
      <c r="AC71" s="137"/>
      <c r="AD71" s="137"/>
      <c r="AI71" s="145" t="s">
        <v>318</v>
      </c>
      <c r="AJ71" s="137"/>
      <c r="AK71" s="137"/>
      <c r="AN71" s="141"/>
      <c r="AP71" s="143"/>
      <c r="AQ71" s="143"/>
      <c r="AU71" s="145" t="s">
        <v>319</v>
      </c>
      <c r="AV71" s="137"/>
      <c r="AW71" s="137"/>
      <c r="AZ71" s="141"/>
      <c r="BB71" s="143"/>
      <c r="BC71" s="143"/>
      <c r="BG71" s="145" t="s">
        <v>320</v>
      </c>
      <c r="BH71" s="137"/>
      <c r="BI71" s="137"/>
      <c r="BL71" s="141"/>
      <c r="BN71" s="143"/>
      <c r="BO71" s="143"/>
      <c r="BU71" s="145" t="s">
        <v>321</v>
      </c>
      <c r="BV71" s="137"/>
      <c r="BW71" s="137"/>
      <c r="BZ71" s="141"/>
      <c r="CB71" s="143"/>
      <c r="CC71" s="143"/>
    </row>
    <row r="72" spans="1:84" ht="15">
      <c r="A72" s="151"/>
      <c r="B72" s="152" t="s">
        <v>322</v>
      </c>
      <c r="C72" s="195"/>
      <c r="D72" s="195">
        <v>-4000</v>
      </c>
      <c r="E72" s="155">
        <f>SUM(C72:D72)</f>
        <v>-4000</v>
      </c>
      <c r="G72" s="210"/>
      <c r="H72" s="151"/>
      <c r="I72" s="152" t="s">
        <v>322</v>
      </c>
      <c r="J72" s="195"/>
      <c r="K72" s="195">
        <v>-4000</v>
      </c>
      <c r="L72" s="155">
        <f>SUM(J72:K72)</f>
        <v>-4000</v>
      </c>
      <c r="N72" s="151">
        <v>701</v>
      </c>
      <c r="O72" s="152" t="s">
        <v>323</v>
      </c>
      <c r="P72" s="195"/>
      <c r="Q72" s="211">
        <v>-1700</v>
      </c>
      <c r="R72" s="158">
        <f>SUM(P72:Q72)</f>
        <v>-1700</v>
      </c>
      <c r="T72" s="151">
        <v>701</v>
      </c>
      <c r="U72" s="152" t="s">
        <v>324</v>
      </c>
      <c r="V72" s="195"/>
      <c r="W72" s="195">
        <f>-1200*2</f>
        <v>-2400</v>
      </c>
      <c r="X72" s="189">
        <f>SUM(V72:W72)</f>
        <v>-2400</v>
      </c>
      <c r="AC72" s="137"/>
      <c r="AD72" s="137"/>
      <c r="AJ72" s="137"/>
      <c r="AK72" s="137"/>
      <c r="AN72" s="141"/>
      <c r="AP72" s="143"/>
      <c r="AQ72" s="143"/>
      <c r="AV72" s="137"/>
      <c r="AW72" s="137"/>
      <c r="AZ72" s="141"/>
      <c r="BB72" s="143"/>
      <c r="BC72" s="143"/>
      <c r="BH72" s="137"/>
      <c r="BI72" s="137"/>
      <c r="BL72" s="141"/>
      <c r="BN72" s="143"/>
      <c r="BO72" s="143"/>
      <c r="BV72" s="137"/>
      <c r="BW72" s="137"/>
      <c r="BZ72" s="141"/>
      <c r="CB72" s="143"/>
      <c r="CC72" s="143"/>
    </row>
    <row r="73" spans="1:84" ht="18">
      <c r="A73" s="201"/>
      <c r="B73" s="202"/>
      <c r="C73" s="203"/>
      <c r="D73" s="203"/>
      <c r="E73" s="204"/>
      <c r="H73" s="201"/>
      <c r="I73" s="202"/>
      <c r="J73" s="203"/>
      <c r="K73" s="203"/>
      <c r="L73" s="204"/>
      <c r="N73" s="201"/>
      <c r="O73" s="202"/>
      <c r="P73" s="203"/>
      <c r="Q73" s="203"/>
      <c r="R73" s="205"/>
      <c r="T73" s="201"/>
      <c r="U73" s="202"/>
      <c r="V73" s="203"/>
      <c r="W73" s="203"/>
      <c r="X73" s="179"/>
      <c r="AA73" s="146" t="s">
        <v>39</v>
      </c>
      <c r="AB73" s="147" t="s">
        <v>40</v>
      </c>
      <c r="AC73" s="148" t="s">
        <v>41</v>
      </c>
      <c r="AD73" s="148" t="s">
        <v>42</v>
      </c>
      <c r="AE73" s="146" t="s">
        <v>4</v>
      </c>
      <c r="AH73" s="146" t="s">
        <v>39</v>
      </c>
      <c r="AI73" s="147" t="s">
        <v>40</v>
      </c>
      <c r="AJ73" s="148" t="s">
        <v>41</v>
      </c>
      <c r="AK73" s="148" t="s">
        <v>42</v>
      </c>
      <c r="AL73" s="146" t="s">
        <v>4</v>
      </c>
      <c r="AN73" s="141"/>
      <c r="AP73" s="143"/>
      <c r="AQ73" s="143"/>
      <c r="AT73" s="146" t="s">
        <v>39</v>
      </c>
      <c r="AU73" s="147" t="s">
        <v>40</v>
      </c>
      <c r="AV73" s="148" t="s">
        <v>41</v>
      </c>
      <c r="AW73" s="148" t="s">
        <v>42</v>
      </c>
      <c r="AX73" s="146" t="s">
        <v>4</v>
      </c>
      <c r="AZ73" s="141"/>
      <c r="BB73" s="143"/>
      <c r="BC73" s="143"/>
      <c r="BF73" s="146" t="s">
        <v>39</v>
      </c>
      <c r="BG73" s="147" t="s">
        <v>40</v>
      </c>
      <c r="BH73" s="148" t="s">
        <v>41</v>
      </c>
      <c r="BI73" s="148" t="s">
        <v>42</v>
      </c>
      <c r="BJ73" s="146" t="s">
        <v>4</v>
      </c>
      <c r="BL73" s="141"/>
      <c r="BM73" s="136">
        <v>4800</v>
      </c>
      <c r="BN73" s="143"/>
      <c r="BO73" s="143">
        <v>53</v>
      </c>
      <c r="BT73" s="146" t="s">
        <v>39</v>
      </c>
      <c r="BU73" s="147" t="s">
        <v>40</v>
      </c>
      <c r="BV73" s="148" t="s">
        <v>41</v>
      </c>
      <c r="BW73" s="148" t="s">
        <v>42</v>
      </c>
      <c r="BX73" s="146" t="s">
        <v>4</v>
      </c>
      <c r="BZ73" s="141">
        <v>0</v>
      </c>
      <c r="CA73" s="136">
        <v>4800</v>
      </c>
      <c r="CB73" s="143"/>
      <c r="CC73" s="143">
        <v>53</v>
      </c>
    </row>
    <row r="74" spans="1:84">
      <c r="A74" s="165"/>
      <c r="B74" s="172" t="s">
        <v>325</v>
      </c>
      <c r="C74" s="178"/>
      <c r="D74" s="178"/>
      <c r="E74" s="168">
        <f>SUM(C74:D74)</f>
        <v>0</v>
      </c>
      <c r="H74" s="165"/>
      <c r="I74" s="172" t="s">
        <v>325</v>
      </c>
      <c r="J74" s="178"/>
      <c r="K74" s="178"/>
      <c r="L74" s="168">
        <f>SUM(J74:K74)</f>
        <v>0</v>
      </c>
      <c r="N74" s="165"/>
      <c r="O74" s="172" t="s">
        <v>325</v>
      </c>
      <c r="P74" s="178"/>
      <c r="Q74" s="178"/>
      <c r="R74" s="169">
        <f>SUM(P74:Q74)</f>
        <v>0</v>
      </c>
      <c r="T74" s="165"/>
      <c r="U74" s="172" t="s">
        <v>325</v>
      </c>
      <c r="V74" s="178"/>
      <c r="W74" s="178"/>
      <c r="X74" s="192">
        <f>SUM(V74:W74)</f>
        <v>0</v>
      </c>
      <c r="AA74" s="151">
        <v>701</v>
      </c>
      <c r="AB74" s="152" t="s">
        <v>326</v>
      </c>
      <c r="AC74" s="195"/>
      <c r="AD74" s="195">
        <f>-1200*4</f>
        <v>-4800</v>
      </c>
      <c r="AE74" s="189">
        <f>SUM(AC74:AD74)</f>
        <v>-4800</v>
      </c>
      <c r="AH74" s="151">
        <v>701</v>
      </c>
      <c r="AI74" s="152" t="s">
        <v>326</v>
      </c>
      <c r="AJ74" s="195"/>
      <c r="AK74" s="195">
        <f>-1200*4</f>
        <v>-4800</v>
      </c>
      <c r="AL74" s="189">
        <f>SUM(AJ74:AK74)</f>
        <v>-4800</v>
      </c>
      <c r="AN74" s="141"/>
      <c r="AP74" s="143"/>
      <c r="AQ74" s="143"/>
      <c r="AT74" s="151">
        <v>701</v>
      </c>
      <c r="AU74" s="152" t="s">
        <v>326</v>
      </c>
      <c r="AV74" s="195"/>
      <c r="AW74" s="195">
        <f>-1200*4</f>
        <v>-4800</v>
      </c>
      <c r="AX74" s="189">
        <f>SUM(AV74:AW74)</f>
        <v>-4800</v>
      </c>
      <c r="AZ74" s="141"/>
      <c r="BB74" s="143"/>
      <c r="BC74" s="143"/>
      <c r="BF74" s="151">
        <v>701</v>
      </c>
      <c r="BG74" s="152" t="s">
        <v>85</v>
      </c>
      <c r="BH74" s="195"/>
      <c r="BI74" s="195">
        <v>0</v>
      </c>
      <c r="BJ74" s="189">
        <f>SUM(BH74:BI74)</f>
        <v>0</v>
      </c>
      <c r="BL74" s="141"/>
      <c r="BN74" s="143"/>
      <c r="BO74" s="143"/>
      <c r="BT74" s="151">
        <v>701</v>
      </c>
      <c r="BU74" s="152" t="s">
        <v>85</v>
      </c>
      <c r="BV74" s="195"/>
      <c r="BW74" s="195">
        <v>0</v>
      </c>
      <c r="BX74" s="189">
        <f>SUM(BV74:BW74)</f>
        <v>0</v>
      </c>
      <c r="BZ74" s="141"/>
      <c r="CB74" s="143"/>
      <c r="CC74" s="143"/>
    </row>
    <row r="75" spans="1:84">
      <c r="A75" s="212"/>
      <c r="B75" s="144"/>
      <c r="C75" s="213"/>
      <c r="D75" s="213"/>
      <c r="E75" s="214"/>
      <c r="H75" s="212"/>
      <c r="I75" s="144"/>
      <c r="J75" s="213"/>
      <c r="K75" s="213"/>
      <c r="L75" s="214"/>
      <c r="N75" s="212"/>
      <c r="O75" s="144"/>
      <c r="P75" s="213"/>
      <c r="Q75" s="213"/>
      <c r="R75" s="215"/>
      <c r="T75" s="212"/>
      <c r="U75" s="144"/>
      <c r="V75" s="213"/>
      <c r="W75" s="213"/>
      <c r="X75" s="216"/>
      <c r="AA75" s="217"/>
      <c r="AB75" s="218"/>
      <c r="AC75" s="219"/>
      <c r="AD75" s="219"/>
      <c r="AE75" s="220"/>
      <c r="AH75" s="217"/>
      <c r="AI75" s="218"/>
      <c r="AJ75" s="219"/>
      <c r="AK75" s="219"/>
      <c r="AL75" s="220"/>
      <c r="AN75" s="141"/>
      <c r="AP75" s="143"/>
      <c r="AQ75" s="143"/>
      <c r="AT75" s="217"/>
      <c r="AU75" s="218"/>
      <c r="AV75" s="219"/>
      <c r="AW75" s="219"/>
      <c r="AX75" s="220"/>
      <c r="AZ75" s="141"/>
      <c r="BB75" s="143"/>
      <c r="BC75" s="143"/>
      <c r="BF75" s="217"/>
      <c r="BG75" s="218" t="s">
        <v>86</v>
      </c>
      <c r="BH75" s="219"/>
      <c r="BI75" s="219">
        <v>-28100</v>
      </c>
      <c r="BJ75" s="189">
        <f>SUM(BH75:BI75)</f>
        <v>-28100</v>
      </c>
      <c r="BL75" s="141"/>
      <c r="BN75" s="143"/>
      <c r="BO75" s="143"/>
      <c r="BT75" s="217"/>
      <c r="BU75" s="218" t="s">
        <v>86</v>
      </c>
      <c r="BV75" s="219"/>
      <c r="BW75" s="219">
        <v>-28100</v>
      </c>
      <c r="BX75" s="189">
        <f>SUM(BV75:BW75)</f>
        <v>-28100</v>
      </c>
      <c r="BZ75" s="141"/>
      <c r="CB75" s="143"/>
      <c r="CC75" s="143"/>
    </row>
    <row r="76" spans="1:84">
      <c r="E76" s="172">
        <f>SUM(E72:E74)</f>
        <v>-4000</v>
      </c>
      <c r="F76" s="137">
        <v>-4000</v>
      </c>
      <c r="L76" s="172">
        <f>SUM(L72:L74)</f>
        <v>-4000</v>
      </c>
      <c r="O76" s="136" t="s">
        <v>327</v>
      </c>
      <c r="P76" s="137"/>
      <c r="Q76" s="137"/>
      <c r="R76" s="193">
        <f>SUM(R72:R74)</f>
        <v>-1700</v>
      </c>
      <c r="V76" s="137"/>
      <c r="W76" s="137"/>
      <c r="X76" s="172">
        <f>SUM(X72:X74)</f>
        <v>-2400</v>
      </c>
      <c r="AA76" s="201"/>
      <c r="AB76" s="202"/>
      <c r="AC76" s="203"/>
      <c r="AD76" s="203"/>
      <c r="AE76" s="179"/>
      <c r="AH76" s="201"/>
      <c r="AI76" s="202"/>
      <c r="AJ76" s="203"/>
      <c r="AK76" s="203"/>
      <c r="AL76" s="179"/>
      <c r="AN76" s="141"/>
      <c r="AP76" s="143"/>
      <c r="AQ76" s="143"/>
      <c r="AT76" s="201"/>
      <c r="AU76" s="202"/>
      <c r="AV76" s="203"/>
      <c r="AW76" s="203"/>
      <c r="AX76" s="179"/>
      <c r="AZ76" s="141"/>
      <c r="BB76" s="143"/>
      <c r="BC76" s="143"/>
      <c r="BF76" s="201"/>
      <c r="BG76" s="206" t="s">
        <v>87</v>
      </c>
      <c r="BH76" s="203"/>
      <c r="BI76" s="203">
        <v>-51700</v>
      </c>
      <c r="BJ76" s="189">
        <f>SUM(BH76:BI76)</f>
        <v>-51700</v>
      </c>
      <c r="BL76" s="141"/>
      <c r="BN76" s="143"/>
      <c r="BO76" s="143"/>
      <c r="BT76" s="201"/>
      <c r="BU76" s="206" t="s">
        <v>87</v>
      </c>
      <c r="BV76" s="203"/>
      <c r="BW76" s="203">
        <v>-51700</v>
      </c>
      <c r="BX76" s="189">
        <f>SUM(BV76:BW76)</f>
        <v>-51700</v>
      </c>
      <c r="BZ76" s="141"/>
      <c r="CB76" s="143"/>
      <c r="CC76" s="143"/>
    </row>
    <row r="77" spans="1:84">
      <c r="E77" s="144"/>
      <c r="L77" s="144"/>
      <c r="P77" s="137"/>
      <c r="Q77" s="137"/>
      <c r="R77" s="194"/>
      <c r="V77" s="137"/>
      <c r="W77" s="137"/>
      <c r="X77" s="144"/>
      <c r="AA77" s="165"/>
      <c r="AB77" s="172" t="s">
        <v>325</v>
      </c>
      <c r="AC77" s="178">
        <v>4800</v>
      </c>
      <c r="AD77" s="178"/>
      <c r="AE77" s="192">
        <f>SUM(AC77:AD77)</f>
        <v>4800</v>
      </c>
      <c r="AH77" s="165"/>
      <c r="AI77" s="172" t="s">
        <v>325</v>
      </c>
      <c r="AJ77" s="178">
        <v>4800</v>
      </c>
      <c r="AK77" s="178"/>
      <c r="AL77" s="192">
        <f>SUM(AJ77:AK77)</f>
        <v>4800</v>
      </c>
      <c r="AN77" s="141"/>
      <c r="AP77" s="143"/>
      <c r="AQ77" s="143"/>
      <c r="AT77" s="165"/>
      <c r="AU77" s="172" t="s">
        <v>325</v>
      </c>
      <c r="AV77" s="178">
        <v>4800</v>
      </c>
      <c r="AW77" s="178"/>
      <c r="AX77" s="192">
        <f>SUM(AV77:AW77)</f>
        <v>4800</v>
      </c>
      <c r="AZ77" s="141"/>
      <c r="BB77" s="143"/>
      <c r="BC77" s="143"/>
      <c r="BF77" s="165"/>
      <c r="BG77" s="163" t="s">
        <v>88</v>
      </c>
      <c r="BH77" s="178">
        <f>-SUM(BI74:BI77)</f>
        <v>79800</v>
      </c>
      <c r="BI77" s="178"/>
      <c r="BJ77" s="189">
        <f>SUM(BH77:BI77)</f>
        <v>79800</v>
      </c>
      <c r="BL77" s="141"/>
      <c r="BN77" s="143"/>
      <c r="BO77" s="143"/>
      <c r="BT77" s="165"/>
      <c r="BU77" s="163" t="s">
        <v>88</v>
      </c>
      <c r="BV77" s="178">
        <f>-SUM(BW74:BW77)</f>
        <v>79800</v>
      </c>
      <c r="BW77" s="178"/>
      <c r="BX77" s="189">
        <f>SUM(BV77:BW77)</f>
        <v>79800</v>
      </c>
      <c r="BZ77" s="141"/>
      <c r="CB77" s="143"/>
      <c r="CC77" s="143"/>
    </row>
    <row r="78" spans="1:84">
      <c r="V78" s="137"/>
      <c r="W78" s="137"/>
      <c r="AC78" s="137"/>
      <c r="AD78" s="137"/>
      <c r="AE78" s="172">
        <f>SUM(AE74:AE77)</f>
        <v>0</v>
      </c>
      <c r="AJ78" s="137"/>
      <c r="AK78" s="137"/>
      <c r="AL78" s="172">
        <f>SUM(AL74:AL77)</f>
        <v>0</v>
      </c>
      <c r="AN78" s="141"/>
      <c r="AP78" s="143"/>
      <c r="AQ78" s="143"/>
      <c r="AV78" s="137"/>
      <c r="AW78" s="137"/>
      <c r="AX78" s="172">
        <f>SUM(AX74:AX77)</f>
        <v>0</v>
      </c>
      <c r="AZ78" s="141"/>
      <c r="BB78" s="143"/>
      <c r="BC78" s="143"/>
      <c r="BH78" s="137">
        <f>SUM(BH74:BH77)</f>
        <v>79800</v>
      </c>
      <c r="BI78" s="137"/>
      <c r="BJ78" s="172">
        <f>SUM(BJ74:BJ77)</f>
        <v>0</v>
      </c>
      <c r="BL78" s="141"/>
      <c r="BN78" s="143"/>
      <c r="BO78" s="143"/>
      <c r="BV78" s="137">
        <f>SUM(BV74:BV77)</f>
        <v>79800</v>
      </c>
      <c r="BW78" s="137"/>
      <c r="BX78" s="172">
        <f>SUM(BX74:BX77)</f>
        <v>0</v>
      </c>
      <c r="BZ78" s="141"/>
      <c r="CB78" s="143"/>
      <c r="CC78" s="143"/>
    </row>
    <row r="79" spans="1:84" ht="20.25">
      <c r="B79" s="145" t="s">
        <v>328</v>
      </c>
      <c r="I79" s="145" t="s">
        <v>328</v>
      </c>
      <c r="O79" s="145" t="s">
        <v>328</v>
      </c>
      <c r="P79" s="137"/>
      <c r="Q79" s="137"/>
      <c r="U79" s="145" t="s">
        <v>328</v>
      </c>
      <c r="V79" s="137"/>
      <c r="W79" s="137"/>
      <c r="AC79" s="137"/>
      <c r="AD79" s="137"/>
      <c r="AE79" s="144"/>
      <c r="AJ79" s="137"/>
      <c r="AK79" s="137"/>
      <c r="AL79" s="144"/>
      <c r="AN79" s="141"/>
      <c r="AP79" s="143"/>
      <c r="AQ79" s="143"/>
      <c r="AV79" s="137"/>
      <c r="AW79" s="137"/>
      <c r="AX79" s="144"/>
      <c r="AZ79" s="141"/>
      <c r="BB79" s="143"/>
      <c r="BC79" s="143"/>
      <c r="BH79" s="137"/>
      <c r="BI79" s="137"/>
      <c r="BJ79" s="144"/>
      <c r="BL79" s="141"/>
      <c r="BN79" s="143"/>
      <c r="BO79" s="143"/>
      <c r="BV79" s="137"/>
      <c r="BW79" s="137"/>
      <c r="BX79" s="144"/>
      <c r="BZ79" s="141"/>
      <c r="CB79" s="143"/>
      <c r="CC79" s="143"/>
    </row>
    <row r="80" spans="1:84">
      <c r="P80" s="137"/>
      <c r="Q80" s="137"/>
      <c r="V80" s="137"/>
      <c r="W80" s="137"/>
      <c r="AC80" s="137"/>
      <c r="AD80" s="137"/>
      <c r="AJ80" s="137"/>
      <c r="AK80" s="137"/>
      <c r="AN80" s="141"/>
      <c r="AP80" s="143"/>
      <c r="AQ80" s="143"/>
      <c r="AV80" s="137"/>
      <c r="AW80" s="137"/>
      <c r="AZ80" s="141"/>
      <c r="BB80" s="143"/>
      <c r="BC80" s="143"/>
      <c r="BH80" s="137"/>
      <c r="BI80" s="137"/>
      <c r="BL80" s="141"/>
      <c r="BN80" s="143"/>
      <c r="BO80" s="143"/>
      <c r="BV80" s="137"/>
      <c r="BW80" s="137"/>
      <c r="BZ80" s="141"/>
      <c r="CB80" s="143"/>
      <c r="CC80" s="143"/>
    </row>
    <row r="81" spans="1:81" ht="20.25">
      <c r="A81" s="146" t="s">
        <v>39</v>
      </c>
      <c r="B81" s="147" t="s">
        <v>40</v>
      </c>
      <c r="C81" s="148" t="s">
        <v>41</v>
      </c>
      <c r="D81" s="148" t="s">
        <v>42</v>
      </c>
      <c r="E81" s="146" t="s">
        <v>4</v>
      </c>
      <c r="G81" s="137" t="s">
        <v>329</v>
      </c>
      <c r="H81" s="146" t="s">
        <v>39</v>
      </c>
      <c r="I81" s="147" t="s">
        <v>40</v>
      </c>
      <c r="J81" s="148" t="s">
        <v>41</v>
      </c>
      <c r="K81" s="148" t="s">
        <v>42</v>
      </c>
      <c r="L81" s="146" t="s">
        <v>4</v>
      </c>
      <c r="N81" s="146" t="s">
        <v>39</v>
      </c>
      <c r="O81" s="147" t="s">
        <v>40</v>
      </c>
      <c r="P81" s="148" t="s">
        <v>41</v>
      </c>
      <c r="Q81" s="148" t="s">
        <v>42</v>
      </c>
      <c r="R81" s="149" t="s">
        <v>4</v>
      </c>
      <c r="T81" s="146" t="s">
        <v>39</v>
      </c>
      <c r="U81" s="147" t="s">
        <v>40</v>
      </c>
      <c r="V81" s="148" t="s">
        <v>41</v>
      </c>
      <c r="W81" s="148" t="s">
        <v>42</v>
      </c>
      <c r="X81" s="146" t="s">
        <v>4</v>
      </c>
      <c r="AB81" s="145" t="s">
        <v>328</v>
      </c>
      <c r="AC81" s="137"/>
      <c r="AD81" s="137"/>
      <c r="AI81" s="145" t="s">
        <v>328</v>
      </c>
      <c r="AJ81" s="137"/>
      <c r="AK81" s="137"/>
      <c r="AN81" s="141"/>
      <c r="AP81" s="143"/>
      <c r="AQ81" s="143"/>
      <c r="AU81" s="145" t="s">
        <v>328</v>
      </c>
      <c r="AV81" s="137"/>
      <c r="AW81" s="137"/>
      <c r="AZ81" s="141"/>
      <c r="BB81" s="143"/>
      <c r="BC81" s="143"/>
      <c r="BG81" s="145" t="s">
        <v>328</v>
      </c>
      <c r="BH81" s="137"/>
      <c r="BI81" s="137"/>
      <c r="BL81" s="141"/>
      <c r="BN81" s="143"/>
      <c r="BO81" s="143"/>
      <c r="BU81" s="145" t="s">
        <v>328</v>
      </c>
      <c r="BV81" s="137"/>
      <c r="BW81" s="137"/>
      <c r="BZ81" s="141"/>
      <c r="CB81" s="143"/>
      <c r="CC81" s="143"/>
    </row>
    <row r="82" spans="1:81">
      <c r="A82" s="151"/>
      <c r="B82" s="152" t="s">
        <v>330</v>
      </c>
      <c r="C82" s="195"/>
      <c r="D82" s="195">
        <v>-20000</v>
      </c>
      <c r="E82" s="155">
        <f>SUM(C82:D82)</f>
        <v>-20000</v>
      </c>
      <c r="G82" s="137">
        <v>-33531</v>
      </c>
      <c r="H82" s="151"/>
      <c r="I82" s="152" t="s">
        <v>330</v>
      </c>
      <c r="J82" s="195"/>
      <c r="K82" s="195">
        <v>-20000</v>
      </c>
      <c r="L82" s="155">
        <f>SUM(J82:K82)</f>
        <v>-20000</v>
      </c>
      <c r="N82" s="151">
        <v>801</v>
      </c>
      <c r="O82" s="152" t="s">
        <v>330</v>
      </c>
      <c r="P82" s="195"/>
      <c r="Q82" s="195">
        <v>-18500</v>
      </c>
      <c r="R82" s="158">
        <f>SUM(P82:Q82)</f>
        <v>-18500</v>
      </c>
      <c r="T82" s="151">
        <v>801</v>
      </c>
      <c r="U82" s="152" t="s">
        <v>331</v>
      </c>
      <c r="V82" s="195"/>
      <c r="W82" s="195">
        <v>-3200</v>
      </c>
      <c r="X82" s="189">
        <f>SUM(V82:W82)</f>
        <v>-3200</v>
      </c>
      <c r="AC82" s="137"/>
      <c r="AD82" s="137"/>
      <c r="AJ82" s="137"/>
      <c r="AK82" s="137"/>
      <c r="AN82" s="141"/>
      <c r="AP82" s="143"/>
      <c r="AQ82" s="143"/>
      <c r="AV82" s="137"/>
      <c r="AW82" s="137"/>
      <c r="AZ82" s="141"/>
      <c r="BB82" s="143"/>
      <c r="BC82" s="143"/>
      <c r="BH82" s="137"/>
      <c r="BI82" s="137"/>
      <c r="BL82" s="141"/>
      <c r="BN82" s="143"/>
      <c r="BO82" s="143"/>
      <c r="BV82" s="137"/>
      <c r="BW82" s="137"/>
      <c r="BZ82" s="141"/>
      <c r="CB82" s="143"/>
      <c r="CC82" s="143"/>
    </row>
    <row r="83" spans="1:81" ht="18">
      <c r="A83" s="165"/>
      <c r="B83" s="163" t="s">
        <v>91</v>
      </c>
      <c r="C83" s="178"/>
      <c r="D83" s="178">
        <v>-1200</v>
      </c>
      <c r="E83" s="168">
        <f>SUM(C83:D83)</f>
        <v>-1200</v>
      </c>
      <c r="G83" s="137">
        <v>0</v>
      </c>
      <c r="H83" s="165"/>
      <c r="I83" s="163" t="s">
        <v>91</v>
      </c>
      <c r="J83" s="178"/>
      <c r="K83" s="178">
        <v>0</v>
      </c>
      <c r="L83" s="168">
        <f>SUM(J83:K83)</f>
        <v>0</v>
      </c>
      <c r="N83" s="165">
        <v>803</v>
      </c>
      <c r="O83" s="163" t="s">
        <v>91</v>
      </c>
      <c r="P83" s="178"/>
      <c r="Q83" s="178">
        <v>0</v>
      </c>
      <c r="R83" s="158">
        <f>SUM(P83:Q83)</f>
        <v>0</v>
      </c>
      <c r="T83" s="165">
        <v>802</v>
      </c>
      <c r="U83" s="163" t="s">
        <v>91</v>
      </c>
      <c r="V83" s="178"/>
      <c r="W83" s="178">
        <v>0</v>
      </c>
      <c r="X83" s="192">
        <f>SUM(V83:W83)</f>
        <v>0</v>
      </c>
      <c r="AA83" s="146" t="s">
        <v>39</v>
      </c>
      <c r="AB83" s="147" t="s">
        <v>40</v>
      </c>
      <c r="AC83" s="148" t="s">
        <v>41</v>
      </c>
      <c r="AD83" s="148" t="s">
        <v>42</v>
      </c>
      <c r="AE83" s="146" t="s">
        <v>4</v>
      </c>
      <c r="AH83" s="146" t="s">
        <v>39</v>
      </c>
      <c r="AI83" s="147" t="s">
        <v>40</v>
      </c>
      <c r="AJ83" s="148" t="s">
        <v>41</v>
      </c>
      <c r="AK83" s="148" t="s">
        <v>42</v>
      </c>
      <c r="AL83" s="146" t="s">
        <v>4</v>
      </c>
      <c r="AN83" s="141">
        <v>4000</v>
      </c>
      <c r="AP83" s="143"/>
      <c r="AQ83" s="143"/>
      <c r="AT83" s="146" t="s">
        <v>39</v>
      </c>
      <c r="AU83" s="147" t="s">
        <v>40</v>
      </c>
      <c r="AV83" s="148" t="s">
        <v>41</v>
      </c>
      <c r="AW83" s="148" t="s">
        <v>42</v>
      </c>
      <c r="AX83" s="146" t="s">
        <v>4</v>
      </c>
      <c r="AZ83" s="141">
        <v>1000</v>
      </c>
      <c r="BB83" s="143"/>
      <c r="BC83" s="143"/>
      <c r="BF83" s="146" t="s">
        <v>39</v>
      </c>
      <c r="BG83" s="147" t="s">
        <v>40</v>
      </c>
      <c r="BH83" s="148" t="s">
        <v>41</v>
      </c>
      <c r="BI83" s="148" t="s">
        <v>42</v>
      </c>
      <c r="BJ83" s="146" t="s">
        <v>4</v>
      </c>
      <c r="BL83" s="141">
        <v>2000</v>
      </c>
      <c r="BM83" s="136">
        <v>1000</v>
      </c>
      <c r="BN83" s="143"/>
      <c r="BO83" s="143"/>
      <c r="BT83" s="146" t="s">
        <v>39</v>
      </c>
      <c r="BU83" s="147" t="s">
        <v>40</v>
      </c>
      <c r="BV83" s="148" t="s">
        <v>41</v>
      </c>
      <c r="BW83" s="148" t="s">
        <v>42</v>
      </c>
      <c r="BX83" s="146" t="s">
        <v>4</v>
      </c>
      <c r="BZ83" s="141">
        <v>2000</v>
      </c>
      <c r="CA83" s="136">
        <v>1000</v>
      </c>
      <c r="CB83" s="143"/>
      <c r="CC83" s="143"/>
    </row>
    <row r="84" spans="1:81">
      <c r="A84" s="165"/>
      <c r="B84" s="163" t="s">
        <v>93</v>
      </c>
      <c r="C84" s="178"/>
      <c r="D84" s="178">
        <v>-1800</v>
      </c>
      <c r="E84" s="168">
        <f>SUM(C84:D84)</f>
        <v>-1800</v>
      </c>
      <c r="G84" s="210">
        <v>0</v>
      </c>
      <c r="H84" s="165"/>
      <c r="I84" s="163" t="s">
        <v>93</v>
      </c>
      <c r="J84" s="178"/>
      <c r="K84" s="178">
        <v>-1000</v>
      </c>
      <c r="L84" s="168">
        <f>SUM(J84:K84)</f>
        <v>-1000</v>
      </c>
      <c r="N84" s="165">
        <v>804</v>
      </c>
      <c r="O84" s="163" t="s">
        <v>93</v>
      </c>
      <c r="P84" s="178"/>
      <c r="Q84" s="178">
        <v>-1000</v>
      </c>
      <c r="R84" s="158">
        <f>SUM(P84:Q84)</f>
        <v>-1000</v>
      </c>
      <c r="T84" s="165">
        <v>803</v>
      </c>
      <c r="U84" s="163" t="s">
        <v>93</v>
      </c>
      <c r="V84" s="178"/>
      <c r="W84" s="178">
        <v>-3000</v>
      </c>
      <c r="X84" s="192">
        <f>SUM(V84:W84)</f>
        <v>-3000</v>
      </c>
      <c r="AA84" s="151">
        <v>801</v>
      </c>
      <c r="AB84" s="152" t="s">
        <v>331</v>
      </c>
      <c r="AC84" s="195"/>
      <c r="AD84" s="195">
        <v>-3200</v>
      </c>
      <c r="AE84" s="189">
        <f>SUM(AC84:AD84)</f>
        <v>-3200</v>
      </c>
      <c r="AH84" s="151">
        <v>801</v>
      </c>
      <c r="AI84" s="152" t="s">
        <v>331</v>
      </c>
      <c r="AJ84" s="195"/>
      <c r="AK84" s="195">
        <v>0</v>
      </c>
      <c r="AL84" s="189">
        <f>SUM(AJ84:AK84)</f>
        <v>0</v>
      </c>
      <c r="AN84" s="141"/>
      <c r="AP84" s="143"/>
      <c r="AQ84" s="143"/>
      <c r="AT84" s="151">
        <v>801</v>
      </c>
      <c r="AU84" s="152" t="s">
        <v>331</v>
      </c>
      <c r="AV84" s="195"/>
      <c r="AW84" s="195">
        <v>0</v>
      </c>
      <c r="AX84" s="189">
        <f>SUM(AV84:AW84)</f>
        <v>0</v>
      </c>
      <c r="AZ84" s="141"/>
      <c r="BB84" s="143"/>
      <c r="BC84" s="143"/>
      <c r="BF84" s="151">
        <v>801</v>
      </c>
      <c r="BG84" s="152" t="s">
        <v>331</v>
      </c>
      <c r="BH84" s="195"/>
      <c r="BI84" s="195">
        <v>0</v>
      </c>
      <c r="BJ84" s="189">
        <f>SUM(BH84:BI84)</f>
        <v>0</v>
      </c>
      <c r="BL84" s="141"/>
      <c r="BN84" s="143"/>
      <c r="BO84" s="143"/>
      <c r="BT84" s="151">
        <v>801</v>
      </c>
      <c r="BU84" s="152" t="s">
        <v>331</v>
      </c>
      <c r="BV84" s="195"/>
      <c r="BW84" s="195">
        <v>0</v>
      </c>
      <c r="BX84" s="189">
        <f>SUM(BV84:BW84)</f>
        <v>0</v>
      </c>
      <c r="BZ84" s="141"/>
      <c r="CB84" s="143"/>
      <c r="CC84" s="143"/>
    </row>
    <row r="85" spans="1:81">
      <c r="A85" s="165"/>
      <c r="B85" s="163"/>
      <c r="C85" s="178"/>
      <c r="D85" s="178"/>
      <c r="E85" s="168">
        <f>SUM(C85:D85)</f>
        <v>0</v>
      </c>
      <c r="H85" s="165"/>
      <c r="I85" s="163"/>
      <c r="J85" s="178"/>
      <c r="K85" s="178"/>
      <c r="L85" s="168">
        <f>SUM(J85:K85)</f>
        <v>0</v>
      </c>
      <c r="N85" s="165"/>
      <c r="O85" s="163"/>
      <c r="P85" s="178"/>
      <c r="Q85" s="178"/>
      <c r="R85" s="158">
        <f>SUM(P85:Q85)</f>
        <v>0</v>
      </c>
      <c r="T85" s="165"/>
      <c r="U85" s="163"/>
      <c r="V85" s="178"/>
      <c r="W85" s="178"/>
      <c r="X85" s="192">
        <f>SUM(V85:W85)</f>
        <v>0</v>
      </c>
      <c r="AA85" s="165">
        <v>802</v>
      </c>
      <c r="AB85" s="163" t="s">
        <v>91</v>
      </c>
      <c r="AC85" s="178"/>
      <c r="AD85" s="178">
        <v>0</v>
      </c>
      <c r="AE85" s="192">
        <f>SUM(AC85:AD85)</f>
        <v>0</v>
      </c>
      <c r="AH85" s="165">
        <v>802</v>
      </c>
      <c r="AI85" s="163" t="s">
        <v>91</v>
      </c>
      <c r="AJ85" s="178"/>
      <c r="AK85" s="178">
        <v>0</v>
      </c>
      <c r="AL85" s="192">
        <f>SUM(AJ85:AK85)</f>
        <v>0</v>
      </c>
      <c r="AN85" s="141"/>
      <c r="AP85" s="143"/>
      <c r="AQ85" s="143"/>
      <c r="AT85" s="165">
        <v>802</v>
      </c>
      <c r="AU85" s="163" t="s">
        <v>91</v>
      </c>
      <c r="AV85" s="178"/>
      <c r="AW85" s="178">
        <v>0</v>
      </c>
      <c r="AX85" s="192">
        <f>SUM(AV85:AW85)</f>
        <v>0</v>
      </c>
      <c r="AZ85" s="141"/>
      <c r="BB85" s="143"/>
      <c r="BC85" s="143"/>
      <c r="BF85" s="165">
        <v>802</v>
      </c>
      <c r="BG85" s="163" t="s">
        <v>91</v>
      </c>
      <c r="BH85" s="178"/>
      <c r="BI85" s="178">
        <v>0</v>
      </c>
      <c r="BJ85" s="192">
        <f>SUM(BH85:BI85)</f>
        <v>0</v>
      </c>
      <c r="BL85" s="141"/>
      <c r="BN85" s="143"/>
      <c r="BO85" s="143"/>
      <c r="BT85" s="165">
        <v>802</v>
      </c>
      <c r="BU85" s="163" t="s">
        <v>91</v>
      </c>
      <c r="BV85" s="178"/>
      <c r="BW85" s="178">
        <v>0</v>
      </c>
      <c r="BX85" s="192">
        <f>SUM(BV85:BW85)</f>
        <v>0</v>
      </c>
      <c r="BZ85" s="141"/>
      <c r="CB85" s="143"/>
      <c r="CC85" s="143"/>
    </row>
    <row r="86" spans="1:81">
      <c r="A86" s="165"/>
      <c r="B86" s="172" t="s">
        <v>332</v>
      </c>
      <c r="C86" s="178"/>
      <c r="D86" s="178"/>
      <c r="E86" s="168">
        <f>SUM(C86:D86)</f>
        <v>0</v>
      </c>
      <c r="H86" s="165"/>
      <c r="I86" s="172" t="s">
        <v>332</v>
      </c>
      <c r="J86" s="178"/>
      <c r="K86" s="178"/>
      <c r="L86" s="168">
        <f>SUM(J86:K86)</f>
        <v>0</v>
      </c>
      <c r="N86" s="165"/>
      <c r="O86" s="172" t="s">
        <v>332</v>
      </c>
      <c r="P86" s="178"/>
      <c r="Q86" s="178"/>
      <c r="R86" s="158">
        <f>SUM(P86:Q86)</f>
        <v>0</v>
      </c>
      <c r="T86" s="165"/>
      <c r="U86" s="172" t="s">
        <v>332</v>
      </c>
      <c r="V86" s="178"/>
      <c r="W86" s="178"/>
      <c r="X86" s="192">
        <f>SUM(V86:W86)</f>
        <v>0</v>
      </c>
      <c r="AA86" s="165">
        <v>803</v>
      </c>
      <c r="AB86" s="163" t="s">
        <v>93</v>
      </c>
      <c r="AC86" s="178"/>
      <c r="AD86" s="178">
        <v>-3000</v>
      </c>
      <c r="AE86" s="192">
        <f>SUM(AC86:AD86)</f>
        <v>-3000</v>
      </c>
      <c r="AH86" s="165">
        <v>803</v>
      </c>
      <c r="AI86" s="163" t="s">
        <v>142</v>
      </c>
      <c r="AJ86" s="178"/>
      <c r="AK86" s="178">
        <v>0</v>
      </c>
      <c r="AL86" s="192">
        <f>SUM(AJ86:AK86)</f>
        <v>0</v>
      </c>
      <c r="AN86" s="141"/>
      <c r="AP86" s="143"/>
      <c r="AQ86" s="143"/>
      <c r="AT86" s="165">
        <v>803</v>
      </c>
      <c r="AU86" s="163" t="s">
        <v>142</v>
      </c>
      <c r="AV86" s="178"/>
      <c r="AW86" s="178">
        <v>0</v>
      </c>
      <c r="AX86" s="192">
        <f>SUM(AV86:AW86)</f>
        <v>0</v>
      </c>
      <c r="AZ86" s="141"/>
      <c r="BB86" s="143"/>
      <c r="BC86" s="143"/>
      <c r="BF86" s="165">
        <v>803</v>
      </c>
      <c r="BG86" s="163" t="s">
        <v>142</v>
      </c>
      <c r="BH86" s="178"/>
      <c r="BI86" s="178">
        <v>0</v>
      </c>
      <c r="BJ86" s="192">
        <f>SUM(BH86:BI86)</f>
        <v>0</v>
      </c>
      <c r="BL86" s="141"/>
      <c r="BN86" s="143"/>
      <c r="BO86" s="143"/>
      <c r="BT86" s="165">
        <v>803</v>
      </c>
      <c r="BU86" s="163" t="s">
        <v>142</v>
      </c>
      <c r="BV86" s="178"/>
      <c r="BW86" s="178">
        <v>0</v>
      </c>
      <c r="BX86" s="192">
        <f>SUM(BV86:BW86)</f>
        <v>0</v>
      </c>
      <c r="BZ86" s="141"/>
      <c r="CB86" s="143"/>
      <c r="CC86" s="143"/>
    </row>
    <row r="87" spans="1:81">
      <c r="E87" s="172">
        <f>SUM(E82:E86)</f>
        <v>-23000</v>
      </c>
      <c r="F87" s="137">
        <v>-8000</v>
      </c>
      <c r="G87" s="137">
        <f>SUM(G82:G86)</f>
        <v>-33531</v>
      </c>
      <c r="L87" s="172">
        <f>SUM(L82:L86)</f>
        <v>-21000</v>
      </c>
      <c r="O87" s="136" t="s">
        <v>333</v>
      </c>
      <c r="P87" s="137"/>
      <c r="Q87" s="137"/>
      <c r="R87" s="193">
        <f>SUM(R82:R86)</f>
        <v>-19500</v>
      </c>
      <c r="V87" s="137"/>
      <c r="W87" s="137"/>
      <c r="X87" s="172">
        <f>SUM(X82:X86)</f>
        <v>-6200</v>
      </c>
      <c r="AA87" s="165"/>
      <c r="AB87" s="163"/>
      <c r="AC87" s="178"/>
      <c r="AD87" s="178"/>
      <c r="AE87" s="192">
        <f>SUM(AC87:AD87)</f>
        <v>0</v>
      </c>
      <c r="AH87" s="165"/>
      <c r="AI87" s="163" t="s">
        <v>94</v>
      </c>
      <c r="AJ87" s="178"/>
      <c r="AK87" s="178">
        <v>-1000</v>
      </c>
      <c r="AL87" s="192">
        <f>SUM(AJ87:AK87)</f>
        <v>-1000</v>
      </c>
      <c r="AN87" s="141"/>
      <c r="AP87" s="143"/>
      <c r="AQ87" s="143"/>
      <c r="AT87" s="165"/>
      <c r="AU87" s="163" t="s">
        <v>94</v>
      </c>
      <c r="AV87" s="178"/>
      <c r="AW87" s="178">
        <v>-1000</v>
      </c>
      <c r="AX87" s="192">
        <f>SUM(AV87:AW87)</f>
        <v>-1000</v>
      </c>
      <c r="AZ87" s="141"/>
      <c r="BB87" s="143"/>
      <c r="BC87" s="143"/>
      <c r="BF87" s="165"/>
      <c r="BG87" s="163" t="s">
        <v>94</v>
      </c>
      <c r="BH87" s="178"/>
      <c r="BI87" s="178">
        <v>-2000</v>
      </c>
      <c r="BJ87" s="192">
        <f>SUM(BH87:BI87)</f>
        <v>-2000</v>
      </c>
      <c r="BL87" s="141"/>
      <c r="BN87" s="143"/>
      <c r="BO87" s="143"/>
      <c r="BT87" s="165"/>
      <c r="BU87" s="163" t="s">
        <v>94</v>
      </c>
      <c r="BV87" s="178"/>
      <c r="BW87" s="178">
        <v>-2000</v>
      </c>
      <c r="BX87" s="192">
        <f>SUM(BV87:BW87)</f>
        <v>-2000</v>
      </c>
      <c r="BZ87" s="141"/>
      <c r="CB87" s="143"/>
      <c r="CC87" s="143"/>
    </row>
    <row r="88" spans="1:81" ht="12" customHeight="1">
      <c r="E88" s="144"/>
      <c r="L88" s="144"/>
      <c r="V88" s="137"/>
      <c r="W88" s="137"/>
      <c r="X88" s="144"/>
      <c r="AA88" s="165"/>
      <c r="AB88" s="172" t="s">
        <v>332</v>
      </c>
      <c r="AC88" s="178"/>
      <c r="AD88" s="178"/>
      <c r="AE88" s="192">
        <f>SUM(AC88:AD88)</f>
        <v>0</v>
      </c>
      <c r="AH88" s="165"/>
      <c r="AI88" s="172" t="s">
        <v>332</v>
      </c>
      <c r="AJ88" s="178"/>
      <c r="AK88" s="178"/>
      <c r="AL88" s="192">
        <f>SUM(AJ88:AK88)</f>
        <v>0</v>
      </c>
      <c r="AN88" s="141"/>
      <c r="AP88" s="143"/>
      <c r="AQ88" s="143"/>
      <c r="AT88" s="165"/>
      <c r="AU88" s="172" t="s">
        <v>332</v>
      </c>
      <c r="AV88" s="178"/>
      <c r="AW88" s="178"/>
      <c r="AX88" s="192">
        <f>SUM(AV88:AW88)</f>
        <v>0</v>
      </c>
      <c r="AZ88" s="141"/>
      <c r="BB88" s="143"/>
      <c r="BC88" s="143"/>
      <c r="BF88" s="165"/>
      <c r="BG88" s="172" t="s">
        <v>97</v>
      </c>
      <c r="BH88" s="178"/>
      <c r="BI88" s="178">
        <v>0</v>
      </c>
      <c r="BJ88" s="192">
        <f>SUM(BH88:BI88)</f>
        <v>0</v>
      </c>
      <c r="BL88" s="141"/>
      <c r="BN88" s="143"/>
      <c r="BO88" s="143"/>
      <c r="BT88" s="165"/>
      <c r="BU88" s="172" t="s">
        <v>97</v>
      </c>
      <c r="BV88" s="178"/>
      <c r="BW88" s="178">
        <v>0</v>
      </c>
      <c r="BX88" s="192">
        <f>SUM(BV88:BW88)</f>
        <v>0</v>
      </c>
      <c r="BZ88" s="141"/>
      <c r="CB88" s="143"/>
      <c r="CC88" s="143"/>
    </row>
    <row r="89" spans="1:81">
      <c r="E89" s="144"/>
      <c r="L89" s="144"/>
      <c r="P89" s="221" t="s">
        <v>334</v>
      </c>
      <c r="Q89" s="221">
        <v>-75540</v>
      </c>
      <c r="V89" s="137"/>
      <c r="W89" s="137"/>
      <c r="X89" s="144"/>
      <c r="AC89" s="137"/>
      <c r="AD89" s="137"/>
      <c r="AE89" s="172">
        <f>SUM(AE84:AE88)</f>
        <v>-6200</v>
      </c>
      <c r="AJ89" s="137"/>
      <c r="AK89" s="137"/>
      <c r="AL89" s="172">
        <f>SUM(AL84:AL88)</f>
        <v>-1000</v>
      </c>
      <c r="AN89" s="141"/>
      <c r="AP89" s="143"/>
      <c r="AQ89" s="143"/>
      <c r="AV89" s="137"/>
      <c r="AW89" s="137"/>
      <c r="AX89" s="172">
        <f>SUM(AX84:AX88)</f>
        <v>-1000</v>
      </c>
      <c r="AZ89" s="141"/>
      <c r="BB89" s="143"/>
      <c r="BC89" s="143"/>
      <c r="BH89" s="137"/>
      <c r="BI89" s="137"/>
      <c r="BJ89" s="172">
        <f>SUM(BJ84:BJ88)</f>
        <v>-2000</v>
      </c>
      <c r="BL89" s="141"/>
      <c r="BN89" s="143"/>
      <c r="BO89" s="143"/>
      <c r="BV89" s="137"/>
      <c r="BW89" s="137"/>
      <c r="BX89" s="172">
        <f>SUM(BX84:BX88)</f>
        <v>-2000</v>
      </c>
      <c r="BZ89" s="141"/>
      <c r="CB89" s="143"/>
      <c r="CC89" s="143"/>
    </row>
    <row r="90" spans="1:81">
      <c r="D90" s="137" t="s">
        <v>98</v>
      </c>
      <c r="E90" s="222">
        <f>E18+E32+E49+E76+E65+E87</f>
        <v>-126310</v>
      </c>
      <c r="F90" s="137">
        <f>SUM(F9:F89)</f>
        <v>-75750</v>
      </c>
      <c r="G90" s="137">
        <f>G18+G32+G49+G65+G76+G87</f>
        <v>-127370</v>
      </c>
      <c r="K90" s="137" t="s">
        <v>98</v>
      </c>
      <c r="L90" s="222">
        <f>L18+L32+L49+L76+L65+L87</f>
        <v>-88540</v>
      </c>
      <c r="V90" s="137"/>
      <c r="W90" s="137" t="s">
        <v>98</v>
      </c>
      <c r="X90" s="222">
        <f>X18+X32+X49+X76+X65+X87</f>
        <v>-95585</v>
      </c>
      <c r="Y90" s="136" t="s">
        <v>335</v>
      </c>
      <c r="AC90" s="137"/>
      <c r="AD90" s="137"/>
      <c r="AE90" s="144"/>
      <c r="AJ90" s="137"/>
      <c r="AK90" s="137"/>
      <c r="AL90" s="144"/>
      <c r="AN90" s="141"/>
      <c r="AV90" s="137"/>
      <c r="AW90" s="137"/>
      <c r="AX90" s="144"/>
      <c r="AZ90" s="141"/>
      <c r="BH90" s="137"/>
      <c r="BI90" s="137"/>
      <c r="BJ90" s="144"/>
      <c r="BL90" s="141"/>
      <c r="BV90" s="137"/>
      <c r="BW90" s="137"/>
      <c r="BX90" s="144"/>
      <c r="BZ90" s="141"/>
    </row>
    <row r="91" spans="1:81">
      <c r="AC91" s="137"/>
      <c r="AD91" s="137"/>
      <c r="AE91" s="144"/>
      <c r="AJ91" s="137"/>
      <c r="AK91" s="137"/>
      <c r="AL91" s="144"/>
      <c r="AN91" s="141"/>
      <c r="AV91" s="137"/>
      <c r="AW91" s="137"/>
      <c r="AX91" s="144"/>
      <c r="AZ91" s="141"/>
      <c r="BH91" s="137"/>
      <c r="BI91" s="137"/>
      <c r="BJ91" s="144"/>
      <c r="BL91" s="141"/>
      <c r="BV91" s="137"/>
      <c r="BW91" s="137"/>
      <c r="BX91" s="144"/>
      <c r="BZ91" s="141"/>
    </row>
    <row r="92" spans="1:81">
      <c r="F92" s="137">
        <v>72210</v>
      </c>
      <c r="AC92" s="137"/>
      <c r="AD92" s="137" t="s">
        <v>98</v>
      </c>
      <c r="AE92" s="222">
        <f>AE18+AE32+AE49+AE78+AE67+AE89</f>
        <v>-51275</v>
      </c>
      <c r="AJ92" s="137"/>
      <c r="AK92" s="137" t="s">
        <v>98</v>
      </c>
      <c r="AL92" s="222">
        <f>AL18+AL32+AL49+AL78+AL67+AL89</f>
        <v>-55000</v>
      </c>
      <c r="AN92" s="141">
        <f>SUM(AN5:AN91)</f>
        <v>58000</v>
      </c>
      <c r="AV92" s="137"/>
      <c r="AW92" s="137" t="s">
        <v>98</v>
      </c>
      <c r="AX92" s="222">
        <f>AX18+AX32+AX49+AX78+AX67+AX89</f>
        <v>-54000</v>
      </c>
      <c r="AZ92" s="141">
        <f>SUM(AZ5:AZ91)</f>
        <v>54000</v>
      </c>
      <c r="BH92" s="137"/>
      <c r="BI92" s="137" t="s">
        <v>98</v>
      </c>
      <c r="BJ92" s="222">
        <f>BJ18+BJ32+BJ49+BJ78+BJ67+BJ89</f>
        <v>-47691.8</v>
      </c>
      <c r="BL92" s="141">
        <f>SUM(BL5:BL91)</f>
        <v>48000</v>
      </c>
      <c r="BV92" s="137"/>
      <c r="BW92" s="137" t="s">
        <v>98</v>
      </c>
      <c r="BX92" s="222">
        <f>BX18+BX32+BX49+BX78+BX67+BX89</f>
        <v>-57985</v>
      </c>
      <c r="BZ92" s="141">
        <f>SUM(BZ5:BZ91)</f>
        <v>58000</v>
      </c>
    </row>
  </sheetData>
  <pageMargins left="0.74803149606299213" right="0.74803149606299213" top="0.51181102362204722" bottom="0.51181102362204722" header="0.51181102362204722" footer="0.51181102362204722"/>
  <pageSetup paperSize="0" fitToWidth="0" fitToHeight="0" orientation="landscape" horizontalDpi="0" verticalDpi="0" copies="0"/>
  <headerFooter alignWithMargins="0">
    <oddHeader>&amp;R&amp;"Calibri,Regular"&amp;K0000002007-10-26/Asgeir</oddHeader>
    <oddFooter>&amp;L&amp;"Calibri,Regular"&amp;K000000File: &amp;F&amp;R&amp;"Calibri,Regular"&amp;K000000Page: &amp;P (&amp;N)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405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Budget 2018</vt:lpstr>
      <vt:lpstr>Detaljer 2018</vt:lpstr>
      <vt:lpstr>Budget 2017</vt:lpstr>
      <vt:lpstr>Detaljer 2017</vt:lpstr>
      <vt:lpstr>Budget 2016</vt:lpstr>
      <vt:lpstr>Detaljer 2016</vt:lpstr>
      <vt:lpstr> Budget per Aktivitet 2008-2015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Groth</dc:creator>
  <cp:lastModifiedBy>cecilia.groth</cp:lastModifiedBy>
  <cp:revision>5</cp:revision>
  <cp:lastPrinted>2018-01-17T09:38:43Z</cp:lastPrinted>
  <dcterms:created xsi:type="dcterms:W3CDTF">2017-01-09T14:20:38Z</dcterms:created>
  <dcterms:modified xsi:type="dcterms:W3CDTF">2018-01-28T09:19:54Z</dcterms:modified>
</cp:coreProperties>
</file>